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Inputs" sheetId="2" r:id="rId2"/>
    <sheet name="Model" sheetId="3" r:id="rId3"/>
    <sheet name="Result" sheetId="4" r:id="rId4"/>
    <sheet name="Examples" sheetId="5" r:id="rId5"/>
    <sheet name="Public prices" sheetId="6" r:id="rId6"/>
  </sheets>
  <definedNames>
    <definedName name="AnyHours">Inputs!$C$32</definedName>
    <definedName name="CloseShare">Model!$B$28</definedName>
    <definedName name="EditionSupport">Inputs!$C$11</definedName>
    <definedName name="HourCost">Inputs!$C$12</definedName>
    <definedName name="HoursYear">Result!$C$24</definedName>
    <definedName name="HrsBackup">Inputs!$C$14</definedName>
    <definedName name="HrsPatch">Inputs!$C$13</definedName>
    <definedName name="HrsPerUpgrade">Inputs!$C$17</definedName>
    <definedName name="HrsWatch">Inputs!$C$15</definedName>
    <definedName name="Lowest">Result!$C$12</definedName>
    <definedName name="MoveHours">Inputs!$C$18</definedName>
    <definedName name="MovePaid">Inputs!$C$19</definedName>
    <definedName name="NextLowest">Result!$C$13</definedName>
    <definedName name="OtherFees">Inputs!$C$7</definedName>
    <definedName name="OverlapMonths">Inputs!$C$20</definedName>
    <definedName name="OwnRise">Inputs!$C$23</definedName>
    <definedName name="PricePerUser">Inputs!$C$6</definedName>
    <definedName name="PriceRise">Inputs!$C$22</definedName>
    <definedName name="QuoteCounted">Inputs!$C$35</definedName>
    <definedName name="QuoteFee">Inputs!$C$24</definedName>
    <definedName name="QuoteHours">Inputs!$C$27</definedName>
    <definedName name="QuoteIncludes">Inputs!$C$26</definedName>
    <definedName name="QuoteNeedsHours">Inputs!$C$34</definedName>
    <definedName name="QuoteSetup">Inputs!$C$25</definedName>
    <definedName name="RankManaged">Result!$C$11</definedName>
    <definedName name="SaaSKnown">Inputs!$C$31</definedName>
    <definedName name="ServersStorage">Inputs!$C$9</definedName>
    <definedName name="SetupFee">Inputs!$C$8</definedName>
    <definedName name="StillNeeded">Inputs!$C$33</definedName>
    <definedName name="SumOwn">Result!$C$21</definedName>
    <definedName name="SumPriceFactor">Result!$C$23</definedName>
    <definedName name="SumUsersPrice">Result!$C$22</definedName>
    <definedName name="ToolsPerMonth">Inputs!$C$10</definedName>
    <definedName name="TotalManaged">Model!$E$26</definedName>
    <definedName name="TotalSaaS">Model!$E$13</definedName>
    <definedName name="TotalSelf">Model!$E$19</definedName>
    <definedName name="UpgradesPerYear">Inputs!$C$16</definedName>
    <definedName name="Users">Inputs!$C$5</definedName>
    <definedName name="UsersGrowth">Inputs!$C$21</definedName>
  </definedNames>
  <calcPr calcId="124519" fullCalcOnLoad="1"/>
</workbook>
</file>

<file path=xl/sharedStrings.xml><?xml version="1.0" encoding="utf-8"?>
<sst xmlns="http://schemas.openxmlformats.org/spreadsheetml/2006/main" count="350" uniqueCount="233">
  <si>
    <t>Three-year cost: SaaS, self-hosting, a managed quote</t>
  </si>
  <si>
    <t>The same model as mith.tech/tools/self-hosting-cost-comparator. Free to use and to keep.</t>
  </si>
  <si>
    <t>How to use it</t>
  </si>
  <si>
    <t>1. Open the Inputs sheet and type your own numbers in the yellow boxes. Or paste the column the web page copies for you into cell C5.</t>
  </si>
  <si>
    <t>2. A blank box means not entered. 0 means you entered zero. Some boxes must be filled (0 is fine) before the Result sheet names a winner.</t>
  </si>
  <si>
    <t>3. Read the Result sheet: three totals, a verdict, and the points at which the answer would flip. The Model sheet shows every line, year by year.</t>
  </si>
  <si>
    <t>4. The Examples sheet holds the three examples from the web page. Copy one column into Inputs!C5 to see the same result here.</t>
  </si>
  <si>
    <t>What it counts</t>
  </si>
  <si>
    <t>Thirty-six months, today's money in each year, no discounting. Seats are not rounded. Enter every amount the same way: all with tax or all without.</t>
  </si>
  <si>
    <t>Self-hosting: servers, tools, any paid edition, your people's hours on upkeep, and the move (year 1 only). A managed quote is optional and is a number you bring.</t>
  </si>
  <si>
    <t>Two totals within 10% of the lower one read as close. That line is ours; change it on the Model sheet (cell B28) if you want a different one.</t>
  </si>
  <si>
    <t>What it leaves out</t>
  </si>
  <si>
    <t>Risk. An outage, a breach, a failed upgrade. They have a cost this model does not price.</t>
  </si>
  <si>
    <t>Missing features. If the open-source version lacks something you use, enter the paid part as a paid edition, or count it as a reason to stay.</t>
  </si>
  <si>
    <t>Where the data lives. Residency and law can decide this before cost does. Ask your advisor. Our post on self-hosting and SaaS covers the questions.</t>
  </si>
  <si>
    <t>Tax. Enter every amount the same way: all with GST or all without. The model does not know which you claim back.</t>
  </si>
  <si>
    <t>Three years. Three years is a choice. One-off costs weigh less over five.</t>
  </si>
  <si>
    <t>Your guesses. The result is only as good as the boxes. The workbook lets you test one guess at a time.</t>
  </si>
  <si>
    <t>Whose number is whose</t>
  </si>
  <si>
    <t>Every box is yours. Nothing is filled in for you. The Public prices sheet lists vendors' list prices with the day each was read and a link; they are for looking up, never typed in for you.</t>
  </si>
  <si>
    <t>There is no MithTech price in this workbook. A managed quote is a number you hold from a host.</t>
  </si>
  <si>
    <t>Who made it</t>
  </si>
  <si>
    <t>We sell managed hosting. If you stay on SaaS or run it yourself, nothing pays us for hosting. There is no MithTech price in this tool: a managed quote is a number you bring. In the examples above it says stay on SaaS for the team of 6.</t>
  </si>
  <si>
    <t>Public prices read 2026-10-14. Prices move: check the vendor's page.</t>
  </si>
  <si>
    <t>Inputs</t>
  </si>
  <si>
    <t>Type in the yellow boxes. Blank means not entered; 0 means zero. A column pasted from the web page lands in C5.</t>
  </si>
  <si>
    <t>Currency symbol (a label only)</t>
  </si>
  <si>
    <t>₹</t>
  </si>
  <si>
    <t>No.</t>
  </si>
  <si>
    <t>Box</t>
  </si>
  <si>
    <t>Your number</t>
  </si>
  <si>
    <t>Unit</t>
  </si>
  <si>
    <t>Help</t>
  </si>
  <si>
    <t>Status</t>
  </si>
  <si>
    <t>Needed (1/0)</t>
  </si>
  <si>
    <t>1 SaaS today</t>
  </si>
  <si>
    <t>Users on the subscription</t>
  </si>
  <si>
    <t>users</t>
  </si>
  <si>
    <t>Paid seats today, or the number you would buy.</t>
  </si>
  <si>
    <t>Price per user per month</t>
  </si>
  <si>
    <t>per user a month</t>
  </si>
  <si>
    <t>From your invoice. If it is billed yearly, divide the year's price by 12.</t>
  </si>
  <si>
    <t>Other fees per month</t>
  </si>
  <si>
    <t>a month</t>
  </si>
  <si>
    <t>Platform fee, add-ons, a support plan. Blank if none.</t>
  </si>
  <si>
    <t/>
  </si>
  <si>
    <t>One-off setup fee</t>
  </si>
  <si>
    <t>once</t>
  </si>
  <si>
    <t>Onboarding you pay the vendor. Blank if none or already paid.</t>
  </si>
  <si>
    <t>2 Self-hosting</t>
  </si>
  <si>
    <t>Servers and storage per month</t>
  </si>
  <si>
    <t>The server or servers you would rent, with disk. 0 is allowed.</t>
  </si>
  <si>
    <t>Backups, monitoring, email and domain per month</t>
  </si>
  <si>
    <t>Off-server backup storage, an uptime monitor, an email-sending service, the domain. Blank counts as 0.</t>
  </si>
  <si>
    <t>Paid edition, add-ons or support contract per month</t>
  </si>
  <si>
    <t>Only if the open-source version needs a paid part to match what you use. Blank if none.</t>
  </si>
  <si>
    <t>3 Your people</t>
  </si>
  <si>
    <t>Cost of one hour of your people</t>
  </si>
  <si>
    <t>an hour</t>
  </si>
  <si>
    <t>What an hour costs you, pay and overhead together. We suggest no number.</t>
  </si>
  <si>
    <t>Hours a month: security and minor updates</t>
  </si>
  <si>
    <t>hours a month</t>
  </si>
  <si>
    <t>Applying fixes, testing them, rolling one back if it breaks. Average over a year.</t>
  </si>
  <si>
    <t>Hours a month: backups and restore tests</t>
  </si>
  <si>
    <t>Checking backups ran, and restoring one to prove it works.</t>
  </si>
  <si>
    <t>Hours a month: monitoring and incidents</t>
  </si>
  <si>
    <t>Alerts, a slow page, a full disk, a night call. Average over a year.</t>
  </si>
  <si>
    <t>Version upgrades per year</t>
  </si>
  <si>
    <t>a year</t>
  </si>
  <si>
    <t>Moves to a new major version, after which something may need fixing.</t>
  </si>
  <si>
    <t>Hours per version upgrade</t>
  </si>
  <si>
    <t>hours each</t>
  </si>
  <si>
    <t>Test on a copy, run it, fix what breaks. Time your last one if you can.</t>
  </si>
  <si>
    <t>4 The move</t>
  </si>
  <si>
    <t>Hours to move over (your people)</t>
  </si>
  <si>
    <t>hours</t>
  </si>
  <si>
    <t>Setting up, moving data, testing, training.</t>
  </si>
  <si>
    <t>Paid to others for the move</t>
  </si>
  <si>
    <t>A consultant, a migration tool, a freelancer.</t>
  </si>
  <si>
    <t>Months you pay for both</t>
  </si>
  <si>
    <t>months</t>
  </si>
  <si>
    <t>Months you keep the subscription while the new system settles. Counted at its year 1 price.</t>
  </si>
  <si>
    <t>More assumptions</t>
  </si>
  <si>
    <t>Users added per year</t>
  </si>
  <si>
    <t>% a year</t>
  </si>
  <si>
    <t>Percent. Adds users to the subscription only. Blank means the team stays the same size.</t>
  </si>
  <si>
    <t>Subscription price rise per year</t>
  </si>
  <si>
    <t>Percent, at renewal. A first-year discount that ends after 12 months is a rise. Blank means no rise.</t>
  </si>
  <si>
    <t>Rise per year in what you pay</t>
  </si>
  <si>
    <t>Percent, on servers, tools, hours and a host's fee. Blank means no rise.</t>
  </si>
  <si>
    <t>A managed quote</t>
  </si>
  <si>
    <t>Monthly fee in the written quote</t>
  </si>
  <si>
    <t>What the host charges each month to run it.</t>
  </si>
  <si>
    <t>One-off fee in the quote</t>
  </si>
  <si>
    <t>Onboarding or migration the host charges. Blank if none.</t>
  </si>
  <si>
    <t>The quote includes the server, backups and monitoring</t>
  </si>
  <si>
    <t>Off means your own server and tools cost is added to the quote.</t>
  </si>
  <si>
    <t>Your hours a month with a host</t>
  </si>
  <si>
    <t>Checking reports, approving upgrades. 0 is allowed; blank is not.</t>
  </si>
  <si>
    <t>Helpers (do not edit)</t>
  </si>
  <si>
    <t>The subscription cost is known</t>
  </si>
  <si>
    <t>Any hours entered</t>
  </si>
  <si>
    <t>Boxes still needed</t>
  </si>
  <si>
    <t>A quote needs your hours with a host</t>
  </si>
  <si>
    <t>The quote is counted</t>
  </si>
  <si>
    <t>Model</t>
  </si>
  <si>
    <t>Every line, year by year. Nothing to type here.</t>
  </si>
  <si>
    <t>Line</t>
  </si>
  <si>
    <t>Three years</t>
  </si>
  <si>
    <t>Yearly factors: (1 + rate) raised to (year - 1)</t>
  </si>
  <si>
    <t>Users factor</t>
  </si>
  <si>
    <t>Subscription price factor</t>
  </si>
  <si>
    <t>What-you-pay factor</t>
  </si>
  <si>
    <t>SaaS</t>
  </si>
  <si>
    <t>Subscription</t>
  </si>
  <si>
    <t>Other fees</t>
  </si>
  <si>
    <t>Setup</t>
  </si>
  <si>
    <t>SaaS total</t>
  </si>
  <si>
    <t>Self-hosting</t>
  </si>
  <si>
    <t>Servers, tools, edition or support</t>
  </si>
  <si>
    <t>Your time on upkeep</t>
  </si>
  <si>
    <t>The move</t>
  </si>
  <si>
    <t>Self-hosting total</t>
  </si>
  <si>
    <t>Managed quote (only if you entered one)</t>
  </si>
  <si>
    <t>Host's monthly fee</t>
  </si>
  <si>
    <t>Your server, tools, edition</t>
  </si>
  <si>
    <t>Your hours with a host</t>
  </si>
  <si>
    <t>The move and the host's one-off fee</t>
  </si>
  <si>
    <t>Managed total</t>
  </si>
  <si>
    <t>Close line (two totals within this share of the lower one read as close)</t>
  </si>
  <si>
    <t>ours</t>
  </si>
  <si>
    <t>Result</t>
  </si>
  <si>
    <t>Nothing to type here.</t>
  </si>
  <si>
    <t>See the Needed column on Inputs. A 0 is an answer; a blank is not.</t>
  </si>
  <si>
    <t>Managed quote counted (1 = yes)</t>
  </si>
  <si>
    <t>Needs a monthly fee above 0 and your hours with a host.</t>
  </si>
  <si>
    <t>Managed quote</t>
  </si>
  <si>
    <t>Third option, for ranking</t>
  </si>
  <si>
    <t>A stand-in far above the others when there is no quote.</t>
  </si>
  <si>
    <t>Lowest total</t>
  </si>
  <si>
    <t>Next lowest total</t>
  </si>
  <si>
    <t>Lowest option</t>
  </si>
  <si>
    <t>A tie goes to staying put, then to self-hosting.</t>
  </si>
  <si>
    <t>Verdict code</t>
  </si>
  <si>
    <t>Verdict</t>
  </si>
  <si>
    <t>Gap to the next option</t>
  </si>
  <si>
    <t>Gap as a share of the lowest total</t>
  </si>
  <si>
    <t>How much more the next option costs than the lowest, as a share of the lowest total.</t>
  </si>
  <si>
    <t>What would flip this</t>
  </si>
  <si>
    <t>Sum of the what-you-pay factors</t>
  </si>
  <si>
    <t>Sum of users factor times price factor</t>
  </si>
  <si>
    <t>Sum of the price factors</t>
  </si>
  <si>
    <t>Upkeep hours a year</t>
  </si>
  <si>
    <t>Subscription fixed part</t>
  </si>
  <si>
    <t>Self-hosting before the months you pay for both</t>
  </si>
  <si>
    <t>Per-user weight</t>
  </si>
  <si>
    <t>Upkeep hours a month at which the two meet</t>
  </si>
  <si>
    <t>none: self-hosting costs more even with no hours of yours.</t>
  </si>
  <si>
    <t>Upkeep hours a month you entered</t>
  </si>
  <si>
    <t>Users at which the two meet</t>
  </si>
  <si>
    <t>Price per user a month at which they meet</t>
  </si>
  <si>
    <t>Managed fee that equals self-hosting</t>
  </si>
  <si>
    <t>A monthly fee with server, backups and monitoring included, no one-off fee, no hours of yours.</t>
  </si>
  <si>
    <t>Managed fee that equals the subscription</t>
  </si>
  <si>
    <t>Share of self-hosting that is your people's time</t>
  </si>
  <si>
    <t>Worth a look (1 = yes)</t>
  </si>
  <si>
    <t>Backups, monitoring, email and domain left blank</t>
  </si>
  <si>
    <t>The move left blank</t>
  </si>
  <si>
    <t>Subscription price rise left blank</t>
  </si>
  <si>
    <t>0 hours of monthly upkeep</t>
  </si>
  <si>
    <t>Over half of self-hosting is your people's time</t>
  </si>
  <si>
    <t>A quote is entered but your hours with a host are missing</t>
  </si>
  <si>
    <t>Checks</t>
  </si>
  <si>
    <t>SaaS lines add up to the SaaS total</t>
  </si>
  <si>
    <t>Self-hosting lines add up to the total</t>
  </si>
  <si>
    <t>Three years of SaaS equal the three yearly totals</t>
  </si>
  <si>
    <t>Examples</t>
  </si>
  <si>
    <t>Made-up round numbers, the same in all three except the team size. Not market data, not a benchmark, not anyone's price.</t>
  </si>
  <si>
    <t>To try one: copy its column (C5 to C27) and paste it into Inputs!C5. The Result sheet then shows the same numbers as the web page.</t>
  </si>
  <si>
    <t>A team of 30</t>
  </si>
  <si>
    <t>A team of 19</t>
  </si>
  <si>
    <t>A team of 6</t>
  </si>
  <si>
    <t>What the web page says for these numbers</t>
  </si>
  <si>
    <t>Self-hosting costs less</t>
  </si>
  <si>
    <t>Too close to call on cost</t>
  </si>
  <si>
    <t>Stay on SaaS</t>
  </si>
  <si>
    <t>self</t>
  </si>
  <si>
    <t>close</t>
  </si>
  <si>
    <t>stay</t>
  </si>
  <si>
    <t>SaaS, three years</t>
  </si>
  <si>
    <t>Self-hosting, three years</t>
  </si>
  <si>
    <t>none</t>
  </si>
  <si>
    <t>Public prices</t>
  </si>
  <si>
    <t>List prices read on 2026-10-14. For looking up, never filled in for you. Prices move and some products sell out: check the vendor's page. No SaaS per-user prices are listed.</t>
  </si>
  <si>
    <t>Vendor</t>
  </si>
  <si>
    <t>Plan</t>
  </si>
  <si>
    <t>Currency</t>
  </si>
  <si>
    <t>A month</t>
  </si>
  <si>
    <t>How it was counted</t>
  </si>
  <si>
    <t>Source</t>
  </si>
  <si>
    <t>Read on</t>
  </si>
  <si>
    <t>Caution</t>
  </si>
  <si>
    <t>Hetzner</t>
  </si>
  <si>
    <t>CPX32 cloud server: 4 vCPU, 8 GB RAM, 160 GB NVMe. Germany or Finland</t>
  </si>
  <si>
    <t>EUR</t>
  </si>
  <si>
    <t>A month, excluding VAT and the IPv4 address (the address is EUR 0.50 a month more). 20 TB of traffic included.</t>
  </si>
  <si>
    <t>https://docs.hetzner.com/general/infrastructure-and-availability/price-adjustment/</t>
  </si>
  <si>
    <t>2026-10-14</t>
  </si>
  <si>
    <t>Hetzner's status page carried an open notice, Limited availability of cloud instances, from 26 June 2026, and its server pages showed this product as currently unavailable when read. Check you can order it.</t>
  </si>
  <si>
    <t>CPX32 cloud server: 4 vCPU, 8 GB RAM, 160 GB NVMe. Singapore</t>
  </si>
  <si>
    <t>A month, excluding VAT and the IPv4 address. 2 TB of traffic included at this location.</t>
  </si>
  <si>
    <t>Same availability notice as above.</t>
  </si>
  <si>
    <t>CPX42 cloud server: 8 vCPU, 16 GB RAM, 320 GB NVMe. Germany or Finland</t>
  </si>
  <si>
    <t>A month, excluding VAT and the IPv4 address. 20 TB of traffic included.</t>
  </si>
  <si>
    <t>DigitalOcean</t>
  </si>
  <si>
    <t>Basic Droplet: 4 vCPUs, 8 GiB RAM, 160 GiB SSD. DigitalOcean has a Bangalore datacenter</t>
  </si>
  <si>
    <t>USD</t>
  </si>
  <si>
    <t>A month for the fixed plan. The page does not say whether tax is included, and does not say prices differ by datacenter.</t>
  </si>
  <si>
    <t>https://www.digitalocean.com/pricing/droplets</t>
  </si>
  <si>
    <t>Amazon EC2</t>
  </si>
  <si>
    <t>t3.xlarge: 4 vCPU, 16 GiB RAM, Linux, on demand. Asia Pacific (Mumbai)</t>
  </si>
  <si>
    <t>USD 0.1792 an hour, times 730 hours (365 days times 24 hours, over 12 months). Storage, snapshots and data transfer are billed on top. AWS's price list was published 12 October 2026.</t>
  </si>
  <si>
    <t>https://aws.amazon.com/ec2/pricing/on-demand/</t>
  </si>
  <si>
    <t>t3 is a burstable instance type. Check it suits a server that is busy all day.</t>
  </si>
  <si>
    <t>Frappe Cloud</t>
  </si>
  <si>
    <t>Sites plan, from. One site on shared servers</t>
  </si>
  <si>
    <t>INR</t>
  </si>
  <si>
    <t>A month, 'onwards': a starting price. The page names no tier, CPU or RAM. The page also shows USD 5.</t>
  </si>
  <si>
    <t>https://frappe.io/cloud/pricing</t>
  </si>
  <si>
    <t>Use it only if Frappe Cloud is the subscription you are comparing. If you pay another vendor, a press would swap your own fees for Frappe Cloud's. Frappe Cloud runs the same open-source ERPNext for a fee, with no per-user price. A 'from' price is the lowest plan the page shows and may not fit a team of 10 to 300 users. Check the plan you would need.</t>
  </si>
  <si>
    <t>Servers plan, from. A whole virtual machine</t>
  </si>
  <si>
    <t>A month, 'onwards': a starting price. The page names no tier, CPU or RAM. The page also shows USD 40.</t>
  </si>
  <si>
    <t>Use it only if Frappe Cloud is the subscription you are comparing. If you pay another vendor, a press would swap your own fees for Frappe Cloud's. The page does not say whether tax is included. A 'from' price is the lowest plan the page shows and may not fit a team of 10 to 300 users. Check the plan you would need.</t>
  </si>
</sst>
</file>

<file path=xl/styles.xml><?xml version="1.0" encoding="utf-8"?>
<styleSheet xmlns="http://schemas.openxmlformats.org/spreadsheetml/2006/main">
  <numFmts count="6">
    <numFmt numFmtId="164" formatCode="#,##0;-#,##0;0"/>
    <numFmt numFmtId="165" formatCode="&quot;Year &quot;0"/>
    <numFmt numFmtId="166" formatCode="0.0000"/>
    <numFmt numFmtId="167" formatCode="0.0%"/>
    <numFmt numFmtId="168" formatCode="#,##0.0"/>
    <numFmt numFmtId="169" formatCode="#,##0.00"/>
  </numFmts>
  <fonts count="8">
    <font>
      <sz val="11"/>
      <color theme="1"/>
      <name val="Calibri"/>
      <family val="2"/>
      <scheme val="minor"/>
    </font>
    <font>
      <b/>
      <sz val="16"/>
      <color theme="1"/>
      <name val="Calibri"/>
      <family val="2"/>
      <scheme val="minor"/>
    </font>
    <font>
      <i/>
      <sz val="11"/>
      <color rgb="FF555555"/>
      <name val="Calibri"/>
      <family val="2"/>
      <scheme val="minor"/>
    </font>
    <font>
      <b/>
      <sz val="11"/>
      <color theme="1"/>
      <name val="Calibri"/>
      <family val="2"/>
      <scheme val="minor"/>
    </font>
    <font>
      <sz val="10"/>
      <color rgb="FF555555"/>
      <name val="Calibri"/>
      <family val="2"/>
      <scheme val="minor"/>
    </font>
    <font>
      <b/>
      <sz val="11"/>
      <color rgb="FFB00020"/>
      <name val="Calibri"/>
      <family val="2"/>
      <scheme val="minor"/>
    </font>
    <font>
      <sz val="11"/>
      <color rgb="FF777770"/>
      <name val="Calibri"/>
      <family val="2"/>
      <scheme val="minor"/>
    </font>
    <font>
      <b/>
      <sz val="12"/>
      <color theme="1"/>
      <name val="Calibri"/>
      <family val="2"/>
      <scheme val="minor"/>
    </font>
  </fonts>
  <fills count="4">
    <fill>
      <patternFill patternType="none"/>
    </fill>
    <fill>
      <patternFill patternType="gray125"/>
    </fill>
    <fill>
      <patternFill patternType="solid">
        <fgColor rgb="FFE6E6E3"/>
        <bgColor indexed="64"/>
      </patternFill>
    </fill>
    <fill>
      <patternFill patternType="solid">
        <fgColor rgb="FFFFF7C2"/>
        <bgColor indexed="64"/>
      </patternFill>
    </fill>
  </fills>
  <borders count="5">
    <border>
      <left/>
      <right/>
      <top/>
      <bottom/>
      <diagonal/>
    </border>
    <border>
      <left style="thin">
        <color rgb="FFBBBBB5"/>
      </left>
      <right style="thin">
        <color rgb="FFBBBBB5"/>
      </right>
      <top style="thin">
        <color rgb="FFBBBBB5"/>
      </top>
      <bottom style="thin">
        <color rgb="FFBBBBB5"/>
      </bottom>
      <diagonal/>
    </border>
    <border>
      <left style="thin">
        <color rgb="FFC9B84A"/>
      </left>
      <right style="thin">
        <color rgb="FFC9B84A"/>
      </right>
      <top style="thin">
        <color rgb="FFC9B84A"/>
      </top>
      <bottom style="thin">
        <color rgb="FFC9B84A"/>
      </bottom>
      <diagonal/>
    </border>
    <border>
      <left/>
      <right/>
      <top/>
      <bottom style="thin">
        <color rgb="FF888880"/>
      </bottom>
      <diagonal/>
    </border>
    <border>
      <left/>
      <right/>
      <top style="thin">
        <color auto="1"/>
      </top>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vertical="center"/>
    </xf>
    <xf numFmtId="0" fontId="0" fillId="0" borderId="0" xfId="0" applyAlignment="1">
      <alignment vertical="top" wrapText="1"/>
    </xf>
    <xf numFmtId="0" fontId="0" fillId="0" borderId="0" xfId="0" applyAlignment="1">
      <alignment vertical="center"/>
    </xf>
    <xf numFmtId="0" fontId="0" fillId="3" borderId="2" xfId="0" applyFill="1" applyBorder="1" applyAlignment="1" applyProtection="1">
      <alignment vertical="center"/>
      <protection locked="0"/>
    </xf>
    <xf numFmtId="0" fontId="4" fillId="0" borderId="0" xfId="0" applyFont="1" applyAlignment="1">
      <alignment vertical="top" wrapText="1"/>
    </xf>
    <xf numFmtId="0" fontId="5" fillId="0" borderId="0" xfId="0" applyFont="1" applyAlignment="1">
      <alignment vertical="center"/>
    </xf>
    <xf numFmtId="0" fontId="6" fillId="0" borderId="0" xfId="0" applyFont="1" applyAlignment="1">
      <alignment horizontal="center" vertical="center"/>
    </xf>
    <xf numFmtId="164" fontId="0" fillId="3" borderId="2" xfId="0" applyNumberFormat="1" applyFill="1" applyBorder="1" applyAlignment="1" applyProtection="1">
      <alignment vertical="center"/>
      <protection locked="0"/>
    </xf>
    <xf numFmtId="165" fontId="3" fillId="2" borderId="1" xfId="0" applyNumberFormat="1" applyFont="1" applyFill="1" applyBorder="1" applyAlignment="1">
      <alignment horizontal="right" vertical="center"/>
    </xf>
    <xf numFmtId="0" fontId="7" fillId="0" borderId="3" xfId="0" applyFont="1" applyBorder="1" applyAlignment="1">
      <alignment vertical="center"/>
    </xf>
    <xf numFmtId="166" fontId="0" fillId="0" borderId="0" xfId="0" applyNumberFormat="1" applyAlignment="1">
      <alignment vertical="center"/>
    </xf>
    <xf numFmtId="164" fontId="0" fillId="0" borderId="0" xfId="0" applyNumberFormat="1" applyAlignment="1">
      <alignment vertical="center"/>
    </xf>
    <xf numFmtId="0" fontId="3" fillId="0" borderId="0" xfId="0" applyFont="1" applyAlignment="1">
      <alignment vertical="center"/>
    </xf>
    <xf numFmtId="164" fontId="3" fillId="0" borderId="4" xfId="0" applyNumberFormat="1" applyFont="1" applyBorder="1" applyAlignment="1">
      <alignment vertical="center"/>
    </xf>
    <xf numFmtId="167" fontId="0" fillId="0" borderId="0" xfId="0" applyNumberFormat="1" applyAlignment="1">
      <alignment vertical="center"/>
    </xf>
    <xf numFmtId="0" fontId="0" fillId="0" borderId="0" xfId="0" applyAlignment="1">
      <alignment horizontal="right" vertical="center"/>
    </xf>
    <xf numFmtId="1" fontId="0" fillId="0" borderId="0" xfId="0" applyNumberFormat="1" applyAlignment="1">
      <alignment horizontal="right" vertical="center"/>
    </xf>
    <xf numFmtId="0" fontId="3" fillId="0" borderId="0" xfId="0" applyFont="1" applyAlignment="1">
      <alignment horizontal="right" vertical="center"/>
    </xf>
    <xf numFmtId="168" fontId="0" fillId="0" borderId="0" xfId="0" applyNumberFormat="1" applyAlignment="1">
      <alignment vertical="center"/>
    </xf>
    <xf numFmtId="169" fontId="0" fillId="0" borderId="0" xfId="0" applyNumberFormat="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8C8C88"/>
    <pageSetUpPr fitToPage="1"/>
  </sheetPr>
  <dimension ref="A1:A24"/>
  <sheetViews>
    <sheetView showGridLines="0" tabSelected="1" workbookViewId="0"/>
  </sheetViews>
  <sheetFormatPr defaultRowHeight="15"/>
  <cols>
    <col min="1" max="1" width="120.7109375" customWidth="1"/>
  </cols>
  <sheetData>
    <row r="1" spans="1:1">
      <c r="A1" s="1" t="s">
        <v>0</v>
      </c>
    </row>
    <row r="2" spans="1:1">
      <c r="A2" s="2" t="s">
        <v>1</v>
      </c>
    </row>
    <row r="3" spans="1:1">
      <c r="A3" s="3" t="s">
        <v>2</v>
      </c>
    </row>
    <row r="4" spans="1:1">
      <c r="A4" s="4" t="s">
        <v>3</v>
      </c>
    </row>
    <row r="5" spans="1:1">
      <c r="A5" s="4" t="s">
        <v>4</v>
      </c>
    </row>
    <row r="6" spans="1:1">
      <c r="A6" s="4" t="s">
        <v>5</v>
      </c>
    </row>
    <row r="7" spans="1:1">
      <c r="A7" s="4" t="s">
        <v>6</v>
      </c>
    </row>
    <row r="8" spans="1:1">
      <c r="A8" s="3" t="s">
        <v>7</v>
      </c>
    </row>
    <row r="9" spans="1:1">
      <c r="A9" s="4" t="s">
        <v>8</v>
      </c>
    </row>
    <row r="10" spans="1:1">
      <c r="A10" s="4" t="s">
        <v>9</v>
      </c>
    </row>
    <row r="11" spans="1:1">
      <c r="A11" s="4" t="s">
        <v>10</v>
      </c>
    </row>
    <row r="12" spans="1:1">
      <c r="A12" s="3" t="s">
        <v>11</v>
      </c>
    </row>
    <row r="13" spans="1:1">
      <c r="A13" s="4" t="s">
        <v>12</v>
      </c>
    </row>
    <row r="14" spans="1:1">
      <c r="A14" s="4" t="s">
        <v>13</v>
      </c>
    </row>
    <row r="15" spans="1:1">
      <c r="A15" s="4" t="s">
        <v>14</v>
      </c>
    </row>
    <row r="16" spans="1:1">
      <c r="A16" s="4" t="s">
        <v>15</v>
      </c>
    </row>
    <row r="17" spans="1:1">
      <c r="A17" s="4" t="s">
        <v>16</v>
      </c>
    </row>
    <row r="18" spans="1:1">
      <c r="A18" s="4" t="s">
        <v>17</v>
      </c>
    </row>
    <row r="19" spans="1:1">
      <c r="A19" s="3" t="s">
        <v>18</v>
      </c>
    </row>
    <row r="20" spans="1:1">
      <c r="A20" s="4" t="s">
        <v>19</v>
      </c>
    </row>
    <row r="21" spans="1:1">
      <c r="A21" s="4" t="s">
        <v>20</v>
      </c>
    </row>
    <row r="22" spans="1:1">
      <c r="A22" s="3" t="s">
        <v>21</v>
      </c>
    </row>
    <row r="23" spans="1:1">
      <c r="A23" s="4" t="s">
        <v>22</v>
      </c>
    </row>
    <row r="24" spans="1:1">
      <c r="A24" s="2" t="s">
        <v>23</v>
      </c>
    </row>
  </sheetData>
  <pageMargins left="0.7" right="0.7" top="0.75" bottom="0.75" header="0.3" footer="0.3"/>
  <pageSetup fitToHeight="0" orientation="portrait"/>
</worksheet>
</file>

<file path=xl/worksheets/sheet2.xml><?xml version="1.0" encoding="utf-8"?>
<worksheet xmlns="http://schemas.openxmlformats.org/spreadsheetml/2006/main" xmlns:r="http://schemas.openxmlformats.org/officeDocument/2006/relationships">
  <sheetPr>
    <tabColor rgb="FFE0C93A"/>
    <pageSetUpPr fitToPage="1"/>
  </sheetPr>
  <dimension ref="A1:G35"/>
  <sheetViews>
    <sheetView showGridLines="0" workbookViewId="0">
      <pane ySplit="4" topLeftCell="A5" activePane="bottomLeft" state="frozen"/>
      <selection pane="bottomLeft"/>
    </sheetView>
  </sheetViews>
  <sheetFormatPr defaultRowHeight="15"/>
  <cols>
    <col min="1" max="1" width="22.7109375" customWidth="1"/>
    <col min="2" max="2" width="52.7109375" customWidth="1"/>
    <col min="3" max="3" width="16.7109375" customWidth="1"/>
    <col min="4" max="4" width="18.7109375" customWidth="1"/>
    <col min="5" max="5" width="70.7109375" customWidth="1"/>
    <col min="6" max="6" width="10.7109375" customWidth="1"/>
    <col min="7" max="7" width="12.7109375" customWidth="1"/>
  </cols>
  <sheetData>
    <row r="1" spans="1:7">
      <c r="A1" s="1" t="s">
        <v>24</v>
      </c>
    </row>
    <row r="2" spans="1:7">
      <c r="A2" s="2" t="s">
        <v>25</v>
      </c>
    </row>
    <row r="3" spans="1:7">
      <c r="B3" s="5" t="s">
        <v>26</v>
      </c>
      <c r="C3" s="6" t="s">
        <v>27</v>
      </c>
    </row>
    <row r="4" spans="1:7">
      <c r="A4" s="3" t="s">
        <v>28</v>
      </c>
      <c r="B4" s="3" t="s">
        <v>29</v>
      </c>
      <c r="C4" s="3" t="s">
        <v>30</v>
      </c>
      <c r="D4" s="3" t="s">
        <v>31</v>
      </c>
      <c r="E4" s="3" t="s">
        <v>32</v>
      </c>
      <c r="F4" s="3" t="s">
        <v>33</v>
      </c>
      <c r="G4" s="3" t="s">
        <v>34</v>
      </c>
    </row>
    <row r="5" spans="1:7">
      <c r="A5" s="7" t="s">
        <v>35</v>
      </c>
      <c r="B5" s="5" t="s">
        <v>36</v>
      </c>
      <c r="C5" s="6"/>
      <c r="D5" s="7" t="s">
        <v>37</v>
      </c>
      <c r="E5" s="7" t="s">
        <v>38</v>
      </c>
      <c r="F5" s="8" t="str">
        <f>IF(G5=1,"Needed","")</f>
        <v>Needed</v>
      </c>
      <c r="G5" s="9">
        <f>IF(SaaSKnown,0,IF(AND(PricePerUser&gt;0,NOT(Users&gt;0)),1,IF(AND(Users&gt;0,NOT(PricePerUser&gt;0)),0,1)))</f>
        <v>1</v>
      </c>
    </row>
    <row r="6" spans="1:7">
      <c r="A6" s="7" t="s">
        <v>35</v>
      </c>
      <c r="B6" s="5" t="s">
        <v>39</v>
      </c>
      <c r="C6" s="10"/>
      <c r="D6" s="7" t="s">
        <v>40</v>
      </c>
      <c r="E6" s="7" t="s">
        <v>41</v>
      </c>
      <c r="F6" s="8" t="str">
        <f>IF(G6=1,"Needed","")</f>
        <v>Needed</v>
      </c>
      <c r="G6" s="9">
        <f>IF(SaaSKnown,0,IF(AND(PricePerUser&gt;0,NOT(Users&gt;0)),0,1))</f>
        <v>1</v>
      </c>
    </row>
    <row r="7" spans="1:7">
      <c r="A7" s="7" t="s">
        <v>35</v>
      </c>
      <c r="B7" s="5" t="s">
        <v>42</v>
      </c>
      <c r="C7" s="10"/>
      <c r="D7" s="7" t="s">
        <v>43</v>
      </c>
      <c r="E7" s="7" t="s">
        <v>44</v>
      </c>
      <c r="F7" s="7" t="s">
        <v>45</v>
      </c>
      <c r="G7" s="9">
        <v>0</v>
      </c>
    </row>
    <row r="8" spans="1:7">
      <c r="A8" s="7" t="s">
        <v>35</v>
      </c>
      <c r="B8" s="5" t="s">
        <v>46</v>
      </c>
      <c r="C8" s="10"/>
      <c r="D8" s="7" t="s">
        <v>47</v>
      </c>
      <c r="E8" s="7" t="s">
        <v>48</v>
      </c>
      <c r="F8" s="7" t="s">
        <v>45</v>
      </c>
      <c r="G8" s="9">
        <v>0</v>
      </c>
    </row>
    <row r="9" spans="1:7">
      <c r="A9" s="7" t="s">
        <v>49</v>
      </c>
      <c r="B9" s="5" t="s">
        <v>50</v>
      </c>
      <c r="C9" s="10"/>
      <c r="D9" s="7" t="s">
        <v>43</v>
      </c>
      <c r="E9" s="7" t="s">
        <v>51</v>
      </c>
      <c r="F9" s="8" t="str">
        <f>IF(G9=1,"Needed","")</f>
        <v>Needed</v>
      </c>
      <c r="G9" s="9">
        <f>IF(ISBLANK(ServersStorage),1,0)</f>
        <v>1</v>
      </c>
    </row>
    <row r="10" spans="1:7">
      <c r="A10" s="7" t="s">
        <v>49</v>
      </c>
      <c r="B10" s="5" t="s">
        <v>52</v>
      </c>
      <c r="C10" s="10"/>
      <c r="D10" s="7" t="s">
        <v>43</v>
      </c>
      <c r="E10" s="7" t="s">
        <v>53</v>
      </c>
      <c r="F10" s="7" t="s">
        <v>45</v>
      </c>
      <c r="G10" s="9">
        <v>0</v>
      </c>
    </row>
    <row r="11" spans="1:7">
      <c r="A11" s="7" t="s">
        <v>49</v>
      </c>
      <c r="B11" s="5" t="s">
        <v>54</v>
      </c>
      <c r="C11" s="10"/>
      <c r="D11" s="7" t="s">
        <v>43</v>
      </c>
      <c r="E11" s="7" t="s">
        <v>55</v>
      </c>
      <c r="F11" s="7" t="s">
        <v>45</v>
      </c>
      <c r="G11" s="9">
        <v>0</v>
      </c>
    </row>
    <row r="12" spans="1:7">
      <c r="A12" s="7" t="s">
        <v>56</v>
      </c>
      <c r="B12" s="5" t="s">
        <v>57</v>
      </c>
      <c r="C12" s="10"/>
      <c r="D12" s="7" t="s">
        <v>58</v>
      </c>
      <c r="E12" s="7" t="s">
        <v>59</v>
      </c>
      <c r="F12" s="8">
        <f>IF(G12=1,"Needed","")</f>
        <v/>
      </c>
      <c r="G12" s="9">
        <f>IF(AND(AnyHours,ISBLANK(HourCost)),1,0)</f>
        <v>0</v>
      </c>
    </row>
    <row r="13" spans="1:7">
      <c r="A13" s="7" t="s">
        <v>56</v>
      </c>
      <c r="B13" s="5" t="s">
        <v>60</v>
      </c>
      <c r="C13" s="6"/>
      <c r="D13" s="7" t="s">
        <v>61</v>
      </c>
      <c r="E13" s="7" t="s">
        <v>62</v>
      </c>
      <c r="F13" s="8" t="str">
        <f>IF(G13=1,"Needed","")</f>
        <v>Needed</v>
      </c>
      <c r="G13" s="9">
        <f>IF(ISBLANK(HrsPatch),1,0)</f>
        <v>1</v>
      </c>
    </row>
    <row r="14" spans="1:7">
      <c r="A14" s="7" t="s">
        <v>56</v>
      </c>
      <c r="B14" s="5" t="s">
        <v>63</v>
      </c>
      <c r="C14" s="6"/>
      <c r="D14" s="7" t="s">
        <v>61</v>
      </c>
      <c r="E14" s="7" t="s">
        <v>64</v>
      </c>
      <c r="F14" s="8" t="str">
        <f>IF(G14=1,"Needed","")</f>
        <v>Needed</v>
      </c>
      <c r="G14" s="9">
        <f>IF(ISBLANK(HrsBackup),1,0)</f>
        <v>1</v>
      </c>
    </row>
    <row r="15" spans="1:7">
      <c r="A15" s="7" t="s">
        <v>56</v>
      </c>
      <c r="B15" s="5" t="s">
        <v>65</v>
      </c>
      <c r="C15" s="6"/>
      <c r="D15" s="7" t="s">
        <v>61</v>
      </c>
      <c r="E15" s="7" t="s">
        <v>66</v>
      </c>
      <c r="F15" s="8" t="str">
        <f>IF(G15=1,"Needed","")</f>
        <v>Needed</v>
      </c>
      <c r="G15" s="9">
        <f>IF(ISBLANK(HrsWatch),1,0)</f>
        <v>1</v>
      </c>
    </row>
    <row r="16" spans="1:7">
      <c r="A16" s="7" t="s">
        <v>56</v>
      </c>
      <c r="B16" s="5" t="s">
        <v>67</v>
      </c>
      <c r="C16" s="6"/>
      <c r="D16" s="7" t="s">
        <v>68</v>
      </c>
      <c r="E16" s="7" t="s">
        <v>69</v>
      </c>
      <c r="F16" s="8" t="str">
        <f>IF(G16=1,"Needed","")</f>
        <v>Needed</v>
      </c>
      <c r="G16" s="9">
        <f>IF(ISBLANK(UpgradesPerYear),1,0)</f>
        <v>1</v>
      </c>
    </row>
    <row r="17" spans="1:7">
      <c r="A17" s="7" t="s">
        <v>56</v>
      </c>
      <c r="B17" s="5" t="s">
        <v>70</v>
      </c>
      <c r="C17" s="6"/>
      <c r="D17" s="7" t="s">
        <v>71</v>
      </c>
      <c r="E17" s="7" t="s">
        <v>72</v>
      </c>
      <c r="F17" s="8">
        <f>IF(G17=1,"Needed","")</f>
        <v/>
      </c>
      <c r="G17" s="9">
        <f>IF(AND(UpgradesPerYear&gt;0,ISBLANK(HrsPerUpgrade)),1,0)</f>
        <v>0</v>
      </c>
    </row>
    <row r="18" spans="1:7">
      <c r="A18" s="7" t="s">
        <v>73</v>
      </c>
      <c r="B18" s="5" t="s">
        <v>74</v>
      </c>
      <c r="C18" s="6"/>
      <c r="D18" s="7" t="s">
        <v>75</v>
      </c>
      <c r="E18" s="7" t="s">
        <v>76</v>
      </c>
      <c r="F18" s="7" t="s">
        <v>45</v>
      </c>
      <c r="G18" s="9">
        <v>0</v>
      </c>
    </row>
    <row r="19" spans="1:7">
      <c r="A19" s="7" t="s">
        <v>73</v>
      </c>
      <c r="B19" s="5" t="s">
        <v>77</v>
      </c>
      <c r="C19" s="10"/>
      <c r="D19" s="7" t="s">
        <v>47</v>
      </c>
      <c r="E19" s="7" t="s">
        <v>78</v>
      </c>
      <c r="F19" s="7" t="s">
        <v>45</v>
      </c>
      <c r="G19" s="9">
        <v>0</v>
      </c>
    </row>
    <row r="20" spans="1:7">
      <c r="A20" s="7" t="s">
        <v>73</v>
      </c>
      <c r="B20" s="5" t="s">
        <v>79</v>
      </c>
      <c r="C20" s="6"/>
      <c r="D20" s="7" t="s">
        <v>80</v>
      </c>
      <c r="E20" s="7" t="s">
        <v>81</v>
      </c>
      <c r="F20" s="7" t="s">
        <v>45</v>
      </c>
      <c r="G20" s="9">
        <v>0</v>
      </c>
    </row>
    <row r="21" spans="1:7">
      <c r="A21" s="7" t="s">
        <v>82</v>
      </c>
      <c r="B21" s="5" t="s">
        <v>83</v>
      </c>
      <c r="C21" s="6"/>
      <c r="D21" s="7" t="s">
        <v>84</v>
      </c>
      <c r="E21" s="7" t="s">
        <v>85</v>
      </c>
      <c r="F21" s="7" t="s">
        <v>45</v>
      </c>
      <c r="G21" s="9">
        <v>0</v>
      </c>
    </row>
    <row r="22" spans="1:7">
      <c r="A22" s="7" t="s">
        <v>82</v>
      </c>
      <c r="B22" s="5" t="s">
        <v>86</v>
      </c>
      <c r="C22" s="6"/>
      <c r="D22" s="7" t="s">
        <v>84</v>
      </c>
      <c r="E22" s="7" t="s">
        <v>87</v>
      </c>
      <c r="F22" s="7" t="s">
        <v>45</v>
      </c>
      <c r="G22" s="9">
        <v>0</v>
      </c>
    </row>
    <row r="23" spans="1:7">
      <c r="A23" s="7" t="s">
        <v>82</v>
      </c>
      <c r="B23" s="5" t="s">
        <v>88</v>
      </c>
      <c r="C23" s="6"/>
      <c r="D23" s="7" t="s">
        <v>84</v>
      </c>
      <c r="E23" s="7" t="s">
        <v>89</v>
      </c>
      <c r="F23" s="7" t="s">
        <v>45</v>
      </c>
      <c r="G23" s="9">
        <v>0</v>
      </c>
    </row>
    <row r="24" spans="1:7">
      <c r="A24" s="7" t="s">
        <v>90</v>
      </c>
      <c r="B24" s="5" t="s">
        <v>91</v>
      </c>
      <c r="C24" s="10"/>
      <c r="D24" s="7" t="s">
        <v>43</v>
      </c>
      <c r="E24" s="7" t="s">
        <v>92</v>
      </c>
      <c r="F24" s="7" t="s">
        <v>45</v>
      </c>
      <c r="G24" s="9">
        <v>0</v>
      </c>
    </row>
    <row r="25" spans="1:7">
      <c r="A25" s="7" t="s">
        <v>90</v>
      </c>
      <c r="B25" s="5" t="s">
        <v>93</v>
      </c>
      <c r="C25" s="10"/>
      <c r="D25" s="7" t="s">
        <v>47</v>
      </c>
      <c r="E25" s="7" t="s">
        <v>94</v>
      </c>
      <c r="F25" s="7" t="s">
        <v>45</v>
      </c>
      <c r="G25" s="9">
        <v>0</v>
      </c>
    </row>
    <row r="26" spans="1:7">
      <c r="A26" s="7" t="s">
        <v>90</v>
      </c>
      <c r="B26" s="5" t="s">
        <v>95</v>
      </c>
      <c r="C26" s="6"/>
      <c r="D26" s="7" t="s">
        <v>45</v>
      </c>
      <c r="E26" s="7" t="s">
        <v>96</v>
      </c>
      <c r="F26" s="7" t="s">
        <v>45</v>
      </c>
      <c r="G26" s="9">
        <v>0</v>
      </c>
    </row>
    <row r="27" spans="1:7">
      <c r="A27" s="7" t="s">
        <v>90</v>
      </c>
      <c r="B27" s="5" t="s">
        <v>97</v>
      </c>
      <c r="C27" s="6"/>
      <c r="D27" s="7" t="s">
        <v>61</v>
      </c>
      <c r="E27" s="7" t="s">
        <v>98</v>
      </c>
      <c r="F27" s="7" t="s">
        <v>45</v>
      </c>
      <c r="G27" s="9">
        <v>0</v>
      </c>
    </row>
    <row r="30" spans="1:7">
      <c r="B30" s="3" t="s">
        <v>99</v>
      </c>
    </row>
    <row r="31" spans="1:7">
      <c r="B31" s="5" t="s">
        <v>100</v>
      </c>
      <c r="C31" s="9" t="str">
        <f>OR(AND(Users&gt;0,PricePerUser&gt;0),OtherFees&gt;0)</f>
        <v>FALSE</v>
      </c>
    </row>
    <row r="32" spans="1:7">
      <c r="B32" s="5" t="s">
        <v>101</v>
      </c>
      <c r="C32" s="9" t="str">
        <f>(HrsPatch+HrsBackup+HrsWatch+UpgradesPerYear*HrsPerUpgrade+MoveHours+IF(QuoteFee&gt;0,QuoteHours,0))&gt;0</f>
        <v>FALSE</v>
      </c>
    </row>
    <row r="33" spans="2:3">
      <c r="B33" s="5" t="s">
        <v>102</v>
      </c>
      <c r="C33" s="9">
        <f>SUM(G5:G27)</f>
        <v>7</v>
      </c>
    </row>
    <row r="34" spans="2:3">
      <c r="B34" s="5" t="s">
        <v>103</v>
      </c>
      <c r="C34" s="9">
        <f>IF(AND(QuoteFee&gt;0,ISBLANK(QuoteHours)),1,0)</f>
        <v>0</v>
      </c>
    </row>
    <row r="35" spans="2:3">
      <c r="B35" s="5" t="s">
        <v>104</v>
      </c>
      <c r="C35" s="9">
        <f>IF(AND(QuoteFee&gt;0,NOT(ISBLANK(QuoteHours))),1,0)</f>
        <v>0</v>
      </c>
    </row>
  </sheetData>
  <dataValidations count="23">
    <dataValidation type="list" allowBlank="1" showInputMessage="1" showErrorMessage="1" errorTitle="Yes or No" error="Choose Yes or No." sqref="C26">
      <formula1>"Yes,No"</formula1>
    </dataValidation>
    <dataValidation type="decimal" operator="greaterThanOrEqual" allowBlank="1" showInputMessage="1" showErrorMessage="1" errorTitle="A number, 0 or more" error="Type a number, 0 or more. Leave the box empty if you have not got one." sqref="C5">
      <formula1>0</formula1>
    </dataValidation>
    <dataValidation type="decimal" operator="greaterThanOrEqual" allowBlank="1" showInputMessage="1" showErrorMessage="1" errorTitle="A number, 0 or more" error="Type a number, 0 or more. Leave the box empty if you have not got one." sqref="C6">
      <formula1>0</formula1>
    </dataValidation>
    <dataValidation type="decimal" operator="greaterThanOrEqual" allowBlank="1" showInputMessage="1" showErrorMessage="1" errorTitle="A number, 0 or more" error="Type a number, 0 or more. Leave the box empty if you have not got one." sqref="C7">
      <formula1>0</formula1>
    </dataValidation>
    <dataValidation type="decimal" operator="greaterThanOrEqual" allowBlank="1" showInputMessage="1" showErrorMessage="1" errorTitle="A number, 0 or more" error="Type a number, 0 or more. Leave the box empty if you have not got one." sqref="C8">
      <formula1>0</formula1>
    </dataValidation>
    <dataValidation type="decimal" operator="greaterThanOrEqual" allowBlank="1" showInputMessage="1" showErrorMessage="1" errorTitle="A number, 0 or more" error="Type a number, 0 or more. Leave the box empty if you have not got one." sqref="C9">
      <formula1>0</formula1>
    </dataValidation>
    <dataValidation type="decimal" operator="greaterThanOrEqual" allowBlank="1" showInputMessage="1" showErrorMessage="1" errorTitle="A number, 0 or more" error="Type a number, 0 or more. Leave the box empty if you have not got one." sqref="C10">
      <formula1>0</formula1>
    </dataValidation>
    <dataValidation type="decimal" operator="greaterThanOrEqual" allowBlank="1" showInputMessage="1" showErrorMessage="1" errorTitle="A number, 0 or more" error="Type a number, 0 or more. Leave the box empty if you have not got one." sqref="C11">
      <formula1>0</formula1>
    </dataValidation>
    <dataValidation type="decimal" operator="greaterThanOrEqual" allowBlank="1" showInputMessage="1" showErrorMessage="1" errorTitle="A number, 0 or more" error="Type a number, 0 or more. Leave the box empty if you have not got one." sqref="C12">
      <formula1>0</formula1>
    </dataValidation>
    <dataValidation type="decimal" operator="greaterThanOrEqual" allowBlank="1" showInputMessage="1" showErrorMessage="1" errorTitle="A number, 0 or more" error="Type a number, 0 or more. Leave the box empty if you have not got one." sqref="C13">
      <formula1>0</formula1>
    </dataValidation>
    <dataValidation type="decimal" operator="greaterThanOrEqual" allowBlank="1" showInputMessage="1" showErrorMessage="1" errorTitle="A number, 0 or more" error="Type a number, 0 or more. Leave the box empty if you have not got one." sqref="C14">
      <formula1>0</formula1>
    </dataValidation>
    <dataValidation type="decimal" operator="greaterThanOrEqual" allowBlank="1" showInputMessage="1" showErrorMessage="1" errorTitle="A number, 0 or more" error="Type a number, 0 or more. Leave the box empty if you have not got one." sqref="C15">
      <formula1>0</formula1>
    </dataValidation>
    <dataValidation type="decimal" operator="greaterThanOrEqual" allowBlank="1" showInputMessage="1" showErrorMessage="1" errorTitle="A number, 0 or more" error="Type a number, 0 or more. Leave the box empty if you have not got one." sqref="C16">
      <formula1>0</formula1>
    </dataValidation>
    <dataValidation type="decimal" operator="greaterThanOrEqual" allowBlank="1" showInputMessage="1" showErrorMessage="1" errorTitle="A number, 0 or more" error="Type a number, 0 or more. Leave the box empty if you have not got one." sqref="C17">
      <formula1>0</formula1>
    </dataValidation>
    <dataValidation type="decimal" operator="greaterThanOrEqual" allowBlank="1" showInputMessage="1" showErrorMessage="1" errorTitle="A number, 0 or more" error="Type a number, 0 or more. Leave the box empty if you have not got one." sqref="C18">
      <formula1>0</formula1>
    </dataValidation>
    <dataValidation type="decimal" operator="greaterThanOrEqual" allowBlank="1" showInputMessage="1" showErrorMessage="1" errorTitle="A number, 0 or more" error="Type a number, 0 or more. Leave the box empty if you have not got one." sqref="C19">
      <formula1>0</formula1>
    </dataValidation>
    <dataValidation type="decimal" operator="greaterThanOrEqual" allowBlank="1" showInputMessage="1" showErrorMessage="1" errorTitle="A number, 0 or more" error="Type a number, 0 or more. Leave the box empty if you have not got one." sqref="C20">
      <formula1>0</formula1>
    </dataValidation>
    <dataValidation type="decimal" operator="greaterThanOrEqual" allowBlank="1" showInputMessage="1" showErrorMessage="1" errorTitle="A number, 0 or more" error="Type a number, 0 or more. Leave the box empty if you have not got one." sqref="C21">
      <formula1>0</formula1>
    </dataValidation>
    <dataValidation type="decimal" operator="greaterThanOrEqual" allowBlank="1" showInputMessage="1" showErrorMessage="1" errorTitle="A number, 0 or more" error="Type a number, 0 or more. Leave the box empty if you have not got one." sqref="C22">
      <formula1>0</formula1>
    </dataValidation>
    <dataValidation type="decimal" operator="greaterThanOrEqual" allowBlank="1" showInputMessage="1" showErrorMessage="1" errorTitle="A number, 0 or more" error="Type a number, 0 or more. Leave the box empty if you have not got one." sqref="C23">
      <formula1>0</formula1>
    </dataValidation>
    <dataValidation type="decimal" operator="greaterThanOrEqual" allowBlank="1" showInputMessage="1" showErrorMessage="1" errorTitle="A number, 0 or more" error="Type a number, 0 or more. Leave the box empty if you have not got one." sqref="C24">
      <formula1>0</formula1>
    </dataValidation>
    <dataValidation type="decimal" operator="greaterThanOrEqual" allowBlank="1" showInputMessage="1" showErrorMessage="1" errorTitle="A number, 0 or more" error="Type a number, 0 or more. Leave the box empty if you have not got one." sqref="C25">
      <formula1>0</formula1>
    </dataValidation>
    <dataValidation type="decimal" operator="greaterThanOrEqual" allowBlank="1" showInputMessage="1" showErrorMessage="1" errorTitle="A number, 0 or more" error="Type a number, 0 or more. Leave the box empty if you have not got one." sqref="C27">
      <formula1>0</formula1>
    </dataValidation>
  </dataValidations>
  <pageMargins left="0.7" right="0.7" top="0.75" bottom="0.75" header="0.3" footer="0.3"/>
  <pageSetup fitToHeight="0" orientation="portrait"/>
</worksheet>
</file>

<file path=xl/worksheets/sheet3.xml><?xml version="1.0" encoding="utf-8"?>
<worksheet xmlns="http://schemas.openxmlformats.org/spreadsheetml/2006/main" xmlns:r="http://schemas.openxmlformats.org/officeDocument/2006/relationships">
  <sheetPr>
    <tabColor rgb="FF8C8C88"/>
    <pageSetUpPr fitToPage="1"/>
  </sheetPr>
  <dimension ref="A1:E28"/>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66.7109375" customWidth="1"/>
    <col min="2" max="4" width="16.7109375" customWidth="1"/>
    <col min="5" max="5" width="18.7109375" customWidth="1"/>
  </cols>
  <sheetData>
    <row r="1" spans="1:5">
      <c r="A1" s="1" t="s">
        <v>105</v>
      </c>
    </row>
    <row r="2" spans="1:5">
      <c r="A2" s="2" t="s">
        <v>106</v>
      </c>
    </row>
    <row r="3" spans="1:5">
      <c r="A3" s="3" t="s">
        <v>107</v>
      </c>
      <c r="B3" s="11">
        <v>1</v>
      </c>
      <c r="C3" s="11">
        <v>2</v>
      </c>
      <c r="D3" s="11">
        <v>3</v>
      </c>
      <c r="E3" s="3" t="s">
        <v>108</v>
      </c>
    </row>
    <row r="4" spans="1:5">
      <c r="A4" s="12" t="s">
        <v>109</v>
      </c>
    </row>
    <row r="5" spans="1:5">
      <c r="A5" s="5" t="s">
        <v>110</v>
      </c>
      <c r="B5" s="13">
        <f>(1+UsersGrowth/100)^(B$3-1)</f>
        <v>1</v>
      </c>
      <c r="C5" s="13">
        <f>(1+UsersGrowth/100)^(C$3-1)</f>
        <v>1</v>
      </c>
      <c r="D5" s="13">
        <f>(1+UsersGrowth/100)^(D$3-1)</f>
        <v>1</v>
      </c>
      <c r="E5" s="13">
        <f>SUM(B5:D5)</f>
        <v>3</v>
      </c>
    </row>
    <row r="6" spans="1:5">
      <c r="A6" s="5" t="s">
        <v>111</v>
      </c>
      <c r="B6" s="13">
        <f>(1+PriceRise/100)^(B$3-1)</f>
        <v>1</v>
      </c>
      <c r="C6" s="13">
        <f>(1+PriceRise/100)^(C$3-1)</f>
        <v>1</v>
      </c>
      <c r="D6" s="13">
        <f>(1+PriceRise/100)^(D$3-1)</f>
        <v>1</v>
      </c>
      <c r="E6" s="13">
        <f>SUM(B6:D6)</f>
        <v>3</v>
      </c>
    </row>
    <row r="7" spans="1:5">
      <c r="A7" s="5" t="s">
        <v>112</v>
      </c>
      <c r="B7" s="13">
        <f>(1+OwnRise/100)^(B$3-1)</f>
        <v>1</v>
      </c>
      <c r="C7" s="13">
        <f>(1+OwnRise/100)^(C$3-1)</f>
        <v>1</v>
      </c>
      <c r="D7" s="13">
        <f>(1+OwnRise/100)^(D$3-1)</f>
        <v>1</v>
      </c>
      <c r="E7" s="13">
        <f>SUM(B7:D7)</f>
        <v>3</v>
      </c>
    </row>
    <row r="9" spans="1:5">
      <c r="A9" s="12" t="s">
        <v>113</v>
      </c>
    </row>
    <row r="10" spans="1:5">
      <c r="A10" s="5" t="s">
        <v>114</v>
      </c>
      <c r="B10" s="14">
        <f>12*Users*B5*PricePerUser*B6</f>
        <v>0</v>
      </c>
      <c r="C10" s="14">
        <f>12*Users*C5*PricePerUser*C6</f>
        <v>0</v>
      </c>
      <c r="D10" s="14">
        <f>12*Users*D5*PricePerUser*D6</f>
        <v>0</v>
      </c>
      <c r="E10" s="14">
        <f>SUM(B10:D10)</f>
        <v>0</v>
      </c>
    </row>
    <row r="11" spans="1:5">
      <c r="A11" s="5" t="s">
        <v>115</v>
      </c>
      <c r="B11" s="14">
        <f>12*OtherFees*B6</f>
        <v>0</v>
      </c>
      <c r="C11" s="14">
        <f>12*OtherFees*C6</f>
        <v>0</v>
      </c>
      <c r="D11" s="14">
        <f>12*OtherFees*D6</f>
        <v>0</v>
      </c>
      <c r="E11" s="14">
        <f>SUM(B11:D11)</f>
        <v>0</v>
      </c>
    </row>
    <row r="12" spans="1:5">
      <c r="A12" s="5" t="s">
        <v>116</v>
      </c>
      <c r="B12" s="14">
        <f>SetupFee</f>
        <v>0</v>
      </c>
      <c r="C12" s="14">
        <v>0</v>
      </c>
      <c r="D12" s="14">
        <v>0</v>
      </c>
      <c r="E12" s="14">
        <f>SUM(B12:D12)</f>
        <v>0</v>
      </c>
    </row>
    <row r="13" spans="1:5">
      <c r="A13" s="15" t="s">
        <v>117</v>
      </c>
      <c r="B13" s="14">
        <f>SUM(B10:B12)</f>
        <v>0</v>
      </c>
      <c r="C13" s="14">
        <f>SUM(C10:C12)</f>
        <v>0</v>
      </c>
      <c r="D13" s="14">
        <f>SUM(D10:D12)</f>
        <v>0</v>
      </c>
      <c r="E13" s="16">
        <f>SUM(B13:D13)</f>
        <v>0</v>
      </c>
    </row>
    <row r="15" spans="1:5">
      <c r="A15" s="12" t="s">
        <v>118</v>
      </c>
    </row>
    <row r="16" spans="1:5">
      <c r="A16" s="5" t="s">
        <v>119</v>
      </c>
      <c r="B16" s="14">
        <f>12*(ServersStorage+ToolsPerMonth+EditionSupport)*B7</f>
        <v>0</v>
      </c>
      <c r="C16" s="14">
        <f>12*(ServersStorage+ToolsPerMonth+EditionSupport)*C7</f>
        <v>0</v>
      </c>
      <c r="D16" s="14">
        <f>12*(ServersStorage+ToolsPerMonth+EditionSupport)*D7</f>
        <v>0</v>
      </c>
      <c r="E16" s="14">
        <f>SUM(B16:D16)</f>
        <v>0</v>
      </c>
    </row>
    <row r="17" spans="1:5">
      <c r="A17" s="5" t="s">
        <v>120</v>
      </c>
      <c r="B17" s="14">
        <f>(12*(HrsPatch+HrsBackup+HrsWatch)+UpgradesPerYear*HrsPerUpgrade)*HourCost*B7</f>
        <v>0</v>
      </c>
      <c r="C17" s="14">
        <f>(12*(HrsPatch+HrsBackup+HrsWatch)+UpgradesPerYear*HrsPerUpgrade)*HourCost*C7</f>
        <v>0</v>
      </c>
      <c r="D17" s="14">
        <f>(12*(HrsPatch+HrsBackup+HrsWatch)+UpgradesPerYear*HrsPerUpgrade)*HourCost*D7</f>
        <v>0</v>
      </c>
      <c r="E17" s="14">
        <f>SUM(B17:D17)</f>
        <v>0</v>
      </c>
    </row>
    <row r="18" spans="1:5">
      <c r="A18" s="5" t="s">
        <v>121</v>
      </c>
      <c r="B18" s="14">
        <f>MoveHours*HourCost+MovePaid+OverlapMonths*(Users*PricePerUser+OtherFees)</f>
        <v>0</v>
      </c>
      <c r="C18" s="14">
        <v>0</v>
      </c>
      <c r="D18" s="14">
        <v>0</v>
      </c>
      <c r="E18" s="14">
        <f>SUM(B18:D18)</f>
        <v>0</v>
      </c>
    </row>
    <row r="19" spans="1:5">
      <c r="A19" s="15" t="s">
        <v>122</v>
      </c>
      <c r="B19" s="14">
        <f>SUM(B16:B18)</f>
        <v>0</v>
      </c>
      <c r="C19" s="14">
        <f>SUM(C16:C18)</f>
        <v>0</v>
      </c>
      <c r="D19" s="14">
        <f>SUM(D16:D18)</f>
        <v>0</v>
      </c>
      <c r="E19" s="16">
        <f>SUM(B19:D19)</f>
        <v>0</v>
      </c>
    </row>
    <row r="21" spans="1:5">
      <c r="A21" s="12" t="s">
        <v>123</v>
      </c>
    </row>
    <row r="22" spans="1:5">
      <c r="A22" s="5" t="s">
        <v>124</v>
      </c>
      <c r="B22" s="14">
        <f>12*QuoteFee*B7</f>
        <v>0</v>
      </c>
      <c r="C22" s="14">
        <f>12*QuoteFee*C7</f>
        <v>0</v>
      </c>
      <c r="D22" s="14">
        <f>12*QuoteFee*D7</f>
        <v>0</v>
      </c>
      <c r="E22" s="14">
        <f>SUM(B22:D22)</f>
        <v>0</v>
      </c>
    </row>
    <row r="23" spans="1:5">
      <c r="A23" s="5" t="s">
        <v>125</v>
      </c>
      <c r="B23" s="14">
        <f>IF(QuoteIncludes="Yes",0,12*(ServersStorage+ToolsPerMonth)*B7)+12*EditionSupport*B7</f>
        <v>0</v>
      </c>
      <c r="C23" s="14">
        <f>IF(QuoteIncludes="Yes",0,12*(ServersStorage+ToolsPerMonth)*C7)+12*EditionSupport*C7</f>
        <v>0</v>
      </c>
      <c r="D23" s="14">
        <f>IF(QuoteIncludes="Yes",0,12*(ServersStorage+ToolsPerMonth)*D7)+12*EditionSupport*D7</f>
        <v>0</v>
      </c>
      <c r="E23" s="14">
        <f>SUM(B23:D23)</f>
        <v>0</v>
      </c>
    </row>
    <row r="24" spans="1:5">
      <c r="A24" s="5" t="s">
        <v>126</v>
      </c>
      <c r="B24" s="14">
        <f>12*QuoteHours*HourCost*B7</f>
        <v>0</v>
      </c>
      <c r="C24" s="14">
        <f>12*QuoteHours*HourCost*C7</f>
        <v>0</v>
      </c>
      <c r="D24" s="14">
        <f>12*QuoteHours*HourCost*D7</f>
        <v>0</v>
      </c>
      <c r="E24" s="14">
        <f>SUM(B24:D24)</f>
        <v>0</v>
      </c>
    </row>
    <row r="25" spans="1:5">
      <c r="A25" s="5" t="s">
        <v>127</v>
      </c>
      <c r="B25" s="14">
        <f>QuoteSetup+MoveHours*HourCost+OverlapMonths*(Users*PricePerUser+OtherFees)</f>
        <v>0</v>
      </c>
      <c r="C25" s="14">
        <v>0</v>
      </c>
      <c r="D25" s="14">
        <v>0</v>
      </c>
      <c r="E25" s="14">
        <f>SUM(B25:D25)</f>
        <v>0</v>
      </c>
    </row>
    <row r="26" spans="1:5">
      <c r="A26" s="15" t="s">
        <v>128</v>
      </c>
      <c r="B26" s="14">
        <f>SUM(B22:B25)</f>
        <v>0</v>
      </c>
      <c r="C26" s="14">
        <f>SUM(C22:C25)</f>
        <v>0</v>
      </c>
      <c r="D26" s="14">
        <f>SUM(D22:D25)</f>
        <v>0</v>
      </c>
      <c r="E26" s="16">
        <f>SUM(B26:D26)</f>
        <v>0</v>
      </c>
    </row>
    <row r="28" spans="1:5">
      <c r="A28" s="5" t="s">
        <v>129</v>
      </c>
      <c r="B28" s="17">
        <v>0.1</v>
      </c>
      <c r="C28" s="7" t="s">
        <v>130</v>
      </c>
    </row>
  </sheetData>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sheetPr>
    <tabColor rgb="FF4A8C5C"/>
    <pageSetUpPr fitToPage="1"/>
  </sheetPr>
  <dimension ref="A1:D47"/>
  <sheetViews>
    <sheetView showGridLines="0" workbookViewId="0"/>
  </sheetViews>
  <sheetFormatPr defaultRowHeight="15"/>
  <cols>
    <col min="1" max="1" width="62.7109375" customWidth="1"/>
    <col min="2" max="2" width="2.7109375" customWidth="1"/>
    <col min="3" max="3" width="22.7109375" customWidth="1"/>
    <col min="4" max="4" width="80.7109375" customWidth="1"/>
  </cols>
  <sheetData>
    <row r="1" spans="1:4">
      <c r="A1" s="1" t="s">
        <v>131</v>
      </c>
    </row>
    <row r="2" spans="1:4">
      <c r="A2" s="2" t="s">
        <v>132</v>
      </c>
    </row>
    <row r="3" spans="1:4">
      <c r="A3" s="5" t="s">
        <v>33</v>
      </c>
      <c r="C3" s="18" t="str">
        <f>IF(StillNeeded&gt;0,"Not complete","Complete")</f>
        <v>Not complete</v>
      </c>
    </row>
    <row r="4" spans="1:4">
      <c r="A4" s="5" t="s">
        <v>102</v>
      </c>
      <c r="C4" s="19">
        <f>StillNeeded</f>
        <v>7</v>
      </c>
      <c r="D4" s="7" t="s">
        <v>133</v>
      </c>
    </row>
    <row r="5" spans="1:4">
      <c r="A5" s="5" t="s">
        <v>134</v>
      </c>
      <c r="C5" s="19">
        <f>QuoteCounted</f>
        <v>0</v>
      </c>
      <c r="D5" s="7" t="s">
        <v>135</v>
      </c>
    </row>
    <row r="6" spans="1:4">
      <c r="A6" s="12" t="s">
        <v>108</v>
      </c>
    </row>
    <row r="7" spans="1:4">
      <c r="A7" s="5" t="s">
        <v>113</v>
      </c>
      <c r="C7" s="14">
        <f>TotalSaaS</f>
        <v>0</v>
      </c>
    </row>
    <row r="8" spans="1:4">
      <c r="A8" s="5" t="s">
        <v>118</v>
      </c>
      <c r="C8" s="14">
        <f>TotalSelf</f>
        <v>0</v>
      </c>
    </row>
    <row r="9" spans="1:4">
      <c r="A9" s="5" t="s">
        <v>136</v>
      </c>
      <c r="C9" s="14" t="str">
        <f>IF(QuoteCounted=1,TotalManaged,"No quote")</f>
        <v>No quote</v>
      </c>
    </row>
    <row r="11" spans="1:4">
      <c r="A11" s="5" t="s">
        <v>137</v>
      </c>
      <c r="C11" s="14">
        <f>IF(QuoteCounted=1,TotalManaged,(TotalSaaS+TotalSelf)*10+1)</f>
        <v>1</v>
      </c>
      <c r="D11" s="7" t="s">
        <v>138</v>
      </c>
    </row>
    <row r="12" spans="1:4">
      <c r="A12" s="5" t="s">
        <v>139</v>
      </c>
      <c r="C12" s="14">
        <f>MIN(TotalSaaS,TotalSelf,RankManaged)</f>
        <v>0</v>
      </c>
    </row>
    <row r="13" spans="1:4">
      <c r="A13" s="5" t="s">
        <v>140</v>
      </c>
      <c r="C13" s="14">
        <f>TotalSaaS+TotalSelf+RankManaged-Lowest-MAX(TotalSaaS,TotalSelf,RankManaged)</f>
        <v>0</v>
      </c>
    </row>
    <row r="14" spans="1:4">
      <c r="A14" s="5" t="s">
        <v>141</v>
      </c>
      <c r="C14" s="18" t="str">
        <f>IF(AND(TotalSaaS&lt;=TotalSelf,TotalSaaS&lt;=RankManaged),"saas",IF(TotalSelf&lt;=RankManaged,"self","managed"))</f>
        <v>saas</v>
      </c>
      <c r="D14" s="7" t="s">
        <v>142</v>
      </c>
    </row>
    <row r="15" spans="1:4">
      <c r="A15" s="5" t="s">
        <v>143</v>
      </c>
      <c r="C15" s="18" t="str">
        <f>IF(StillNeeded&gt;0,"incomplete",IF(NextLowest&lt;=Lowest*(1+CloseShare),"close",IF(C14="saas","stay",C14)))</f>
        <v>incomplete</v>
      </c>
    </row>
    <row r="16" spans="1:4">
      <c r="A16" s="5" t="s">
        <v>144</v>
      </c>
      <c r="C16" s="20" t="str">
        <f>IF(C15="stay","Stay on SaaS",IF(C15="self","Self-hosting costs less",IF(C15="managed","The managed quote costs least",IF(C15="close","Too close to call on cost","Add your numbers"))))</f>
        <v>Add your numbers</v>
      </c>
    </row>
    <row r="17" spans="1:4">
      <c r="A17" s="5" t="s">
        <v>145</v>
      </c>
      <c r="C17" s="14">
        <f>IF(StillNeeded&gt;0,0,NextLowest-Lowest)</f>
        <v>0</v>
      </c>
    </row>
    <row r="18" spans="1:4">
      <c r="A18" s="5" t="s">
        <v>146</v>
      </c>
      <c r="C18" s="17">
        <f>IF(AND(StillNeeded=0,Lowest&gt;0),C17/Lowest,0)</f>
        <v>0</v>
      </c>
      <c r="D18" s="7" t="s">
        <v>147</v>
      </c>
    </row>
    <row r="20" spans="1:4">
      <c r="A20" s="12" t="s">
        <v>148</v>
      </c>
    </row>
    <row r="21" spans="1:4">
      <c r="A21" s="5" t="s">
        <v>149</v>
      </c>
      <c r="C21" s="13">
        <f>Model!B7+Model!C7+Model!D7</f>
        <v>3</v>
      </c>
    </row>
    <row r="22" spans="1:4">
      <c r="A22" s="5" t="s">
        <v>150</v>
      </c>
      <c r="C22" s="13">
        <f>Model!B5*Model!B6+Model!C5*Model!C6+Model!D5*Model!D6</f>
        <v>3</v>
      </c>
    </row>
    <row r="23" spans="1:4">
      <c r="A23" s="5" t="s">
        <v>151</v>
      </c>
      <c r="C23" s="13">
        <f>Model!B6+Model!C6+Model!D6</f>
        <v>3</v>
      </c>
    </row>
    <row r="24" spans="1:4">
      <c r="A24" s="5" t="s">
        <v>152</v>
      </c>
      <c r="C24" s="21">
        <f>12*(HrsPatch+HrsBackup+HrsWatch)+UpgradesPerYear*HrsPerUpgrade</f>
        <v>0</v>
      </c>
    </row>
    <row r="25" spans="1:4">
      <c r="A25" s="5" t="s">
        <v>153</v>
      </c>
      <c r="C25" s="14">
        <f>12*OtherFees*SumPriceFactor+SetupFee</f>
        <v>0</v>
      </c>
    </row>
    <row r="26" spans="1:4">
      <c r="A26" s="5" t="s">
        <v>154</v>
      </c>
      <c r="C26" s="14">
        <f>TotalSelf-OverlapMonths*(Users*PricePerUser+OtherFees)</f>
        <v>0</v>
      </c>
    </row>
    <row r="27" spans="1:4">
      <c r="A27" s="5" t="s">
        <v>155</v>
      </c>
      <c r="C27" s="13">
        <f>12*SumUsersPrice-OverlapMonths</f>
        <v>36</v>
      </c>
    </row>
    <row r="28" spans="1:4">
      <c r="A28" s="5" t="s">
        <v>156</v>
      </c>
      <c r="C28" s="21" t="str">
        <f>IF(HourCost&gt;0,IF(TotalSaaS-(TotalSelf-HoursYear*HourCost*SumOwn)&gt;=0,(TotalSaaS-(TotalSelf-HoursYear*HourCost*SumOwn))/(HourCost*SumOwn)/12,"none"),"n/a")</f>
        <v>n/a</v>
      </c>
      <c r="D28" s="7" t="s">
        <v>157</v>
      </c>
    </row>
    <row r="29" spans="1:4">
      <c r="A29" s="5" t="s">
        <v>158</v>
      </c>
      <c r="C29" s="21">
        <f>HoursYear/12</f>
        <v>0</v>
      </c>
    </row>
    <row r="30" spans="1:4">
      <c r="A30" s="5" t="s">
        <v>159</v>
      </c>
      <c r="C30" s="21" t="str">
        <f>IF(AND(PricePerUser&gt;0,C27&gt;0),(C26+OverlapMonths*OtherFees-C25)/(PricePerUser*C27),"n/a")</f>
        <v>n/a</v>
      </c>
    </row>
    <row r="31" spans="1:4">
      <c r="A31" s="5" t="s">
        <v>160</v>
      </c>
      <c r="C31" s="22" t="str">
        <f>IF(AND(Users&gt;0,C27&gt;0),(C26+OverlapMonths*OtherFees-C25)/(Users*C27),"n/a")</f>
        <v>n/a</v>
      </c>
    </row>
    <row r="32" spans="1:4">
      <c r="A32" s="5" t="s">
        <v>161</v>
      </c>
      <c r="C32" s="14">
        <f>(TotalSelf-12*EditionSupport*SumOwn-(MoveHours*HourCost+OverlapMonths*(Users*PricePerUser+OtherFees)))/(12*SumOwn)</f>
        <v>0</v>
      </c>
      <c r="D32" s="7" t="s">
        <v>162</v>
      </c>
    </row>
    <row r="33" spans="1:3">
      <c r="A33" s="5" t="s">
        <v>163</v>
      </c>
      <c r="C33" s="14">
        <f>(TotalSaaS-12*EditionSupport*SumOwn-(MoveHours*HourCost+OverlapMonths*(Users*PricePerUser+OtherFees)))/(12*SumOwn)</f>
        <v>0</v>
      </c>
    </row>
    <row r="34" spans="1:3">
      <c r="A34" s="5" t="s">
        <v>164</v>
      </c>
      <c r="C34" s="17">
        <f>IF(TotalSelf&gt;0,(HoursYear*HourCost*SumOwn+MoveHours*HourCost)/TotalSelf,0)</f>
        <v>0</v>
      </c>
    </row>
    <row r="36" spans="1:3">
      <c r="A36" s="12" t="s">
        <v>165</v>
      </c>
    </row>
    <row r="37" spans="1:3">
      <c r="A37" s="5" t="s">
        <v>166</v>
      </c>
      <c r="C37" s="19">
        <f>IF(ISBLANK(ToolsPerMonth),1,0)</f>
        <v>1</v>
      </c>
    </row>
    <row r="38" spans="1:3">
      <c r="A38" s="5" t="s">
        <v>167</v>
      </c>
      <c r="C38" s="19">
        <f>IF(AND(ISBLANK(MoveHours),ISBLANK(MovePaid),ISBLANK(OverlapMonths)),1,0)</f>
        <v>1</v>
      </c>
    </row>
    <row r="39" spans="1:3">
      <c r="A39" s="5" t="s">
        <v>168</v>
      </c>
      <c r="C39" s="19">
        <f>IF(ISBLANK(PriceRise),1,0)</f>
        <v>1</v>
      </c>
    </row>
    <row r="40" spans="1:3">
      <c r="A40" s="5" t="s">
        <v>169</v>
      </c>
      <c r="C40" s="19">
        <f>IF(HrsPatch+HrsBackup+HrsWatch=0,1,0)</f>
        <v>1</v>
      </c>
    </row>
    <row r="41" spans="1:3">
      <c r="A41" s="5" t="s">
        <v>170</v>
      </c>
      <c r="C41" s="19">
        <f>IF(C34&gt;0.5,1,0)</f>
        <v>0</v>
      </c>
    </row>
    <row r="42" spans="1:3">
      <c r="A42" s="5" t="s">
        <v>171</v>
      </c>
      <c r="C42" s="19">
        <f>QuoteNeedsHours</f>
        <v>0</v>
      </c>
    </row>
    <row r="44" spans="1:3">
      <c r="A44" s="12" t="s">
        <v>172</v>
      </c>
    </row>
    <row r="45" spans="1:3">
      <c r="A45" s="5" t="s">
        <v>173</v>
      </c>
      <c r="C45" s="18" t="str">
        <f>IF(ABS(Model!E10+Model!E11+Model!E12-TotalSaaS)&lt;0.000001,"OK","Check")</f>
        <v>OK</v>
      </c>
    </row>
    <row r="46" spans="1:3">
      <c r="A46" s="5" t="s">
        <v>174</v>
      </c>
      <c r="C46" s="18" t="str">
        <f>IF(ABS(Model!E16+Model!E17+Model!E18-TotalSelf)&lt;0.000001,"OK","Check")</f>
        <v>OK</v>
      </c>
    </row>
    <row r="47" spans="1:3">
      <c r="A47" s="5" t="s">
        <v>175</v>
      </c>
      <c r="C47" s="18" t="str">
        <f>IF(ABS(Model!B13+Model!C13+Model!D13-TotalSaaS)&lt;0.000001,"OK","Check")</f>
        <v>OK</v>
      </c>
    </row>
  </sheetData>
  <pageMargins left="0.7" right="0.7" top="0.75" bottom="0.75" header="0.3" footer="0.3"/>
  <pageSetup fitToHeight="0" orientation="portrait"/>
</worksheet>
</file>

<file path=xl/worksheets/sheet5.xml><?xml version="1.0" encoding="utf-8"?>
<worksheet xmlns="http://schemas.openxmlformats.org/spreadsheetml/2006/main" xmlns:r="http://schemas.openxmlformats.org/officeDocument/2006/relationships">
  <sheetPr>
    <tabColor rgb="FF8C8C88"/>
    <pageSetUpPr fitToPage="1"/>
  </sheetPr>
  <dimension ref="A1:E36"/>
  <sheetViews>
    <sheetView showGridLines="0" workbookViewId="0"/>
  </sheetViews>
  <sheetFormatPr defaultRowHeight="15"/>
  <cols>
    <col min="1" max="1" width="2.7109375" customWidth="1"/>
    <col min="2" max="2" width="52.7109375" customWidth="1"/>
    <col min="3" max="5" width="20.7109375" customWidth="1"/>
  </cols>
  <sheetData>
    <row r="1" spans="1:5">
      <c r="A1" s="1" t="s">
        <v>176</v>
      </c>
    </row>
    <row r="2" spans="1:5">
      <c r="A2" s="2" t="s">
        <v>177</v>
      </c>
    </row>
    <row r="3" spans="1:5">
      <c r="A3" s="2" t="s">
        <v>178</v>
      </c>
    </row>
    <row r="4" spans="1:5">
      <c r="B4" s="3" t="s">
        <v>29</v>
      </c>
      <c r="C4" s="3" t="s">
        <v>179</v>
      </c>
      <c r="D4" s="3" t="s">
        <v>180</v>
      </c>
      <c r="E4" s="3" t="s">
        <v>181</v>
      </c>
    </row>
    <row r="5" spans="1:5">
      <c r="A5" s="7" t="s">
        <v>45</v>
      </c>
      <c r="B5" s="5" t="s">
        <v>36</v>
      </c>
      <c r="C5" s="6">
        <v>30</v>
      </c>
      <c r="D5" s="6">
        <v>19</v>
      </c>
      <c r="E5" s="6">
        <v>6</v>
      </c>
    </row>
    <row r="6" spans="1:5">
      <c r="A6" s="7" t="s">
        <v>45</v>
      </c>
      <c r="B6" s="5" t="s">
        <v>39</v>
      </c>
      <c r="C6" s="10">
        <v>1200</v>
      </c>
      <c r="D6" s="10">
        <v>1200</v>
      </c>
      <c r="E6" s="10">
        <v>1200</v>
      </c>
    </row>
    <row r="7" spans="1:5">
      <c r="A7" s="7" t="s">
        <v>45</v>
      </c>
      <c r="B7" s="5" t="s">
        <v>42</v>
      </c>
      <c r="C7" s="6"/>
      <c r="D7" s="6"/>
      <c r="E7" s="6"/>
    </row>
    <row r="8" spans="1:5">
      <c r="A8" s="7" t="s">
        <v>45</v>
      </c>
      <c r="B8" s="5" t="s">
        <v>46</v>
      </c>
      <c r="C8" s="6"/>
      <c r="D8" s="6"/>
      <c r="E8" s="6"/>
    </row>
    <row r="9" spans="1:5">
      <c r="A9" s="7" t="s">
        <v>45</v>
      </c>
      <c r="B9" s="5" t="s">
        <v>50</v>
      </c>
      <c r="C9" s="10">
        <v>8000</v>
      </c>
      <c r="D9" s="10">
        <v>8000</v>
      </c>
      <c r="E9" s="10">
        <v>8000</v>
      </c>
    </row>
    <row r="10" spans="1:5">
      <c r="A10" s="7" t="s">
        <v>45</v>
      </c>
      <c r="B10" s="5" t="s">
        <v>52</v>
      </c>
      <c r="C10" s="10">
        <v>1500</v>
      </c>
      <c r="D10" s="10">
        <v>1500</v>
      </c>
      <c r="E10" s="10">
        <v>1500</v>
      </c>
    </row>
    <row r="11" spans="1:5">
      <c r="A11" s="7" t="s">
        <v>45</v>
      </c>
      <c r="B11" s="5" t="s">
        <v>54</v>
      </c>
      <c r="C11" s="6"/>
      <c r="D11" s="6"/>
      <c r="E11" s="6"/>
    </row>
    <row r="12" spans="1:5">
      <c r="A12" s="7" t="s">
        <v>45</v>
      </c>
      <c r="B12" s="5" t="s">
        <v>57</v>
      </c>
      <c r="C12" s="10">
        <v>1000</v>
      </c>
      <c r="D12" s="10">
        <v>1000</v>
      </c>
      <c r="E12" s="10">
        <v>1000</v>
      </c>
    </row>
    <row r="13" spans="1:5">
      <c r="A13" s="7" t="s">
        <v>45</v>
      </c>
      <c r="B13" s="5" t="s">
        <v>60</v>
      </c>
      <c r="C13" s="6">
        <v>3</v>
      </c>
      <c r="D13" s="6">
        <v>3</v>
      </c>
      <c r="E13" s="6">
        <v>3</v>
      </c>
    </row>
    <row r="14" spans="1:5">
      <c r="A14" s="7" t="s">
        <v>45</v>
      </c>
      <c r="B14" s="5" t="s">
        <v>63</v>
      </c>
      <c r="C14" s="6">
        <v>2</v>
      </c>
      <c r="D14" s="6">
        <v>2</v>
      </c>
      <c r="E14" s="6">
        <v>2</v>
      </c>
    </row>
    <row r="15" spans="1:5">
      <c r="A15" s="7" t="s">
        <v>45</v>
      </c>
      <c r="B15" s="5" t="s">
        <v>65</v>
      </c>
      <c r="C15" s="6">
        <v>3</v>
      </c>
      <c r="D15" s="6">
        <v>3</v>
      </c>
      <c r="E15" s="6">
        <v>3</v>
      </c>
    </row>
    <row r="16" spans="1:5">
      <c r="A16" s="7" t="s">
        <v>45</v>
      </c>
      <c r="B16" s="5" t="s">
        <v>67</v>
      </c>
      <c r="C16" s="6">
        <v>2</v>
      </c>
      <c r="D16" s="6">
        <v>2</v>
      </c>
      <c r="E16" s="6">
        <v>2</v>
      </c>
    </row>
    <row r="17" spans="1:5">
      <c r="A17" s="7" t="s">
        <v>45</v>
      </c>
      <c r="B17" s="5" t="s">
        <v>70</v>
      </c>
      <c r="C17" s="6">
        <v>16</v>
      </c>
      <c r="D17" s="6">
        <v>16</v>
      </c>
      <c r="E17" s="6">
        <v>16</v>
      </c>
    </row>
    <row r="18" spans="1:5">
      <c r="A18" s="7" t="s">
        <v>45</v>
      </c>
      <c r="B18" s="5" t="s">
        <v>74</v>
      </c>
      <c r="C18" s="6">
        <v>120</v>
      </c>
      <c r="D18" s="6">
        <v>120</v>
      </c>
      <c r="E18" s="6">
        <v>120</v>
      </c>
    </row>
    <row r="19" spans="1:5">
      <c r="A19" s="7" t="s">
        <v>45</v>
      </c>
      <c r="B19" s="5" t="s">
        <v>77</v>
      </c>
      <c r="C19" s="10">
        <v>50000</v>
      </c>
      <c r="D19" s="10">
        <v>50000</v>
      </c>
      <c r="E19" s="10">
        <v>50000</v>
      </c>
    </row>
    <row r="20" spans="1:5">
      <c r="A20" s="7" t="s">
        <v>45</v>
      </c>
      <c r="B20" s="5" t="s">
        <v>79</v>
      </c>
      <c r="C20" s="6">
        <v>2</v>
      </c>
      <c r="D20" s="6">
        <v>2</v>
      </c>
      <c r="E20" s="6">
        <v>2</v>
      </c>
    </row>
    <row r="21" spans="1:5">
      <c r="A21" s="7" t="s">
        <v>45</v>
      </c>
      <c r="B21" s="5" t="s">
        <v>83</v>
      </c>
      <c r="C21" s="6">
        <v>10</v>
      </c>
      <c r="D21" s="6">
        <v>10</v>
      </c>
      <c r="E21" s="6">
        <v>10</v>
      </c>
    </row>
    <row r="22" spans="1:5">
      <c r="A22" s="7" t="s">
        <v>45</v>
      </c>
      <c r="B22" s="5" t="s">
        <v>86</v>
      </c>
      <c r="C22" s="6">
        <v>8</v>
      </c>
      <c r="D22" s="6">
        <v>8</v>
      </c>
      <c r="E22" s="6">
        <v>8</v>
      </c>
    </row>
    <row r="23" spans="1:5">
      <c r="A23" s="7" t="s">
        <v>45</v>
      </c>
      <c r="B23" s="5" t="s">
        <v>88</v>
      </c>
      <c r="C23" s="6">
        <v>5</v>
      </c>
      <c r="D23" s="6">
        <v>5</v>
      </c>
      <c r="E23" s="6">
        <v>5</v>
      </c>
    </row>
    <row r="24" spans="1:5">
      <c r="A24" s="7" t="s">
        <v>45</v>
      </c>
      <c r="B24" s="5" t="s">
        <v>91</v>
      </c>
      <c r="C24" s="6"/>
      <c r="D24" s="6"/>
      <c r="E24" s="6"/>
    </row>
    <row r="25" spans="1:5">
      <c r="A25" s="7" t="s">
        <v>45</v>
      </c>
      <c r="B25" s="5" t="s">
        <v>93</v>
      </c>
      <c r="C25" s="6"/>
      <c r="D25" s="6"/>
      <c r="E25" s="6"/>
    </row>
    <row r="26" spans="1:5">
      <c r="A26" s="7" t="s">
        <v>45</v>
      </c>
      <c r="B26" s="5" t="s">
        <v>95</v>
      </c>
      <c r="C26" s="6"/>
      <c r="D26" s="6"/>
      <c r="E26" s="6"/>
    </row>
    <row r="27" spans="1:5">
      <c r="A27" s="7" t="s">
        <v>45</v>
      </c>
      <c r="B27" s="5" t="s">
        <v>97</v>
      </c>
      <c r="C27" s="6"/>
      <c r="D27" s="6"/>
      <c r="E27" s="6"/>
    </row>
    <row r="29" spans="1:5">
      <c r="B29" s="12" t="s">
        <v>182</v>
      </c>
    </row>
    <row r="30" spans="1:5">
      <c r="B30" s="5" t="s">
        <v>144</v>
      </c>
      <c r="C30" s="18" t="s">
        <v>183</v>
      </c>
      <c r="D30" s="18" t="s">
        <v>184</v>
      </c>
      <c r="E30" s="18" t="s">
        <v>185</v>
      </c>
    </row>
    <row r="31" spans="1:5">
      <c r="B31" s="5" t="s">
        <v>143</v>
      </c>
      <c r="C31" s="18" t="s">
        <v>186</v>
      </c>
      <c r="D31" s="18" t="s">
        <v>187</v>
      </c>
      <c r="E31" s="18" t="s">
        <v>188</v>
      </c>
    </row>
    <row r="32" spans="1:5">
      <c r="B32" s="5" t="s">
        <v>189</v>
      </c>
      <c r="C32" s="14">
        <v>1554916.608</v>
      </c>
      <c r="D32" s="14">
        <v>984780.5184000002</v>
      </c>
      <c r="E32" s="14">
        <v>310983.3216</v>
      </c>
    </row>
    <row r="33" spans="2:5">
      <c r="B33" s="5" t="s">
        <v>190</v>
      </c>
      <c r="C33" s="14">
        <v>1004905</v>
      </c>
      <c r="D33" s="14">
        <v>978505</v>
      </c>
      <c r="E33" s="14">
        <v>947305</v>
      </c>
    </row>
    <row r="34" spans="2:5">
      <c r="B34" s="5" t="s">
        <v>145</v>
      </c>
      <c r="C34" s="14">
        <v>550011.6080000005</v>
      </c>
      <c r="D34" s="14">
        <v>6275.518400000175</v>
      </c>
      <c r="E34" s="14">
        <v>636321.6784</v>
      </c>
    </row>
    <row r="35" spans="2:5">
      <c r="B35" s="5" t="s">
        <v>159</v>
      </c>
      <c r="C35" s="21">
        <v>18.87304373625303</v>
      </c>
      <c r="D35" s="21">
        <v>18.87304373625303</v>
      </c>
      <c r="E35" s="21">
        <v>18.87304373625303</v>
      </c>
    </row>
    <row r="36" spans="2:5">
      <c r="B36" s="5" t="s">
        <v>156</v>
      </c>
      <c r="C36" s="21">
        <v>25.20569939201693</v>
      </c>
      <c r="D36" s="21">
        <v>10.83255401533175</v>
      </c>
      <c r="E36" s="18" t="s">
        <v>191</v>
      </c>
    </row>
  </sheetData>
  <pageMargins left="0.7" right="0.7" top="0.75" bottom="0.75" header="0.3" footer="0.3"/>
  <pageSetup fitToHeight="0" orientation="portrait"/>
</worksheet>
</file>

<file path=xl/worksheets/sheet6.xml><?xml version="1.0" encoding="utf-8"?>
<worksheet xmlns="http://schemas.openxmlformats.org/spreadsheetml/2006/main" xmlns:r="http://schemas.openxmlformats.org/officeDocument/2006/relationships">
  <sheetPr>
    <tabColor rgb="FF8C8C88"/>
    <pageSetUpPr fitToPage="1"/>
  </sheetPr>
  <dimension ref="A1:H11"/>
  <sheetViews>
    <sheetView showGridLines="0" workbookViewId="0"/>
  </sheetViews>
  <sheetFormatPr defaultRowHeight="15"/>
  <cols>
    <col min="1" max="1" width="16.7109375" customWidth="1"/>
    <col min="2" max="2" width="46.7109375" customWidth="1"/>
    <col min="3" max="3" width="10.7109375" customWidth="1"/>
    <col min="4" max="4" width="12.7109375" customWidth="1"/>
    <col min="5" max="5" width="60.7109375" customWidth="1"/>
    <col min="6" max="6" width="54.7109375" customWidth="1"/>
    <col min="7" max="7" width="12.7109375" customWidth="1"/>
    <col min="8" max="8" width="60.7109375" customWidth="1"/>
  </cols>
  <sheetData>
    <row r="1" spans="1:8">
      <c r="A1" s="1" t="s">
        <v>192</v>
      </c>
    </row>
    <row r="2" spans="1:8">
      <c r="A2" s="2" t="s">
        <v>193</v>
      </c>
    </row>
    <row r="4" spans="1:8">
      <c r="A4" s="3" t="s">
        <v>194</v>
      </c>
      <c r="B4" s="3" t="s">
        <v>195</v>
      </c>
      <c r="C4" s="3" t="s">
        <v>196</v>
      </c>
      <c r="D4" s="3" t="s">
        <v>197</v>
      </c>
      <c r="E4" s="3" t="s">
        <v>198</v>
      </c>
      <c r="F4" s="3" t="s">
        <v>199</v>
      </c>
      <c r="G4" s="3" t="s">
        <v>200</v>
      </c>
      <c r="H4" s="3" t="s">
        <v>201</v>
      </c>
    </row>
    <row r="5" spans="1:8">
      <c r="A5" s="5" t="s">
        <v>202</v>
      </c>
      <c r="B5" s="4" t="s">
        <v>203</v>
      </c>
      <c r="C5" s="5" t="s">
        <v>204</v>
      </c>
      <c r="D5" s="22">
        <v>35.49</v>
      </c>
      <c r="E5" s="4" t="s">
        <v>205</v>
      </c>
      <c r="F5" s="4" t="s">
        <v>206</v>
      </c>
      <c r="G5" s="5" t="s">
        <v>207</v>
      </c>
      <c r="H5" s="4" t="s">
        <v>208</v>
      </c>
    </row>
    <row r="6" spans="1:8">
      <c r="A6" s="5" t="s">
        <v>202</v>
      </c>
      <c r="B6" s="4" t="s">
        <v>209</v>
      </c>
      <c r="C6" s="5" t="s">
        <v>204</v>
      </c>
      <c r="D6" s="22">
        <v>48.99</v>
      </c>
      <c r="E6" s="4" t="s">
        <v>210</v>
      </c>
      <c r="F6" s="4" t="s">
        <v>206</v>
      </c>
      <c r="G6" s="5" t="s">
        <v>207</v>
      </c>
      <c r="H6" s="4" t="s">
        <v>211</v>
      </c>
    </row>
    <row r="7" spans="1:8">
      <c r="A7" s="5" t="s">
        <v>202</v>
      </c>
      <c r="B7" s="4" t="s">
        <v>212</v>
      </c>
      <c r="C7" s="5" t="s">
        <v>204</v>
      </c>
      <c r="D7" s="22">
        <v>69.48999999999999</v>
      </c>
      <c r="E7" s="4" t="s">
        <v>213</v>
      </c>
      <c r="F7" s="4" t="s">
        <v>206</v>
      </c>
      <c r="G7" s="5" t="s">
        <v>207</v>
      </c>
      <c r="H7" s="4" t="s">
        <v>211</v>
      </c>
    </row>
    <row r="8" spans="1:8">
      <c r="A8" s="5" t="s">
        <v>214</v>
      </c>
      <c r="B8" s="4" t="s">
        <v>215</v>
      </c>
      <c r="C8" s="5" t="s">
        <v>216</v>
      </c>
      <c r="D8" s="22">
        <v>48</v>
      </c>
      <c r="E8" s="4" t="s">
        <v>217</v>
      </c>
      <c r="F8" s="4" t="s">
        <v>218</v>
      </c>
      <c r="G8" s="5" t="s">
        <v>207</v>
      </c>
      <c r="H8" s="4" t="s">
        <v>45</v>
      </c>
    </row>
    <row r="9" spans="1:8">
      <c r="A9" s="5" t="s">
        <v>219</v>
      </c>
      <c r="B9" s="4" t="s">
        <v>220</v>
      </c>
      <c r="C9" s="5" t="s">
        <v>216</v>
      </c>
      <c r="D9" s="22">
        <v>130.82</v>
      </c>
      <c r="E9" s="4" t="s">
        <v>221</v>
      </c>
      <c r="F9" s="4" t="s">
        <v>222</v>
      </c>
      <c r="G9" s="5" t="s">
        <v>207</v>
      </c>
      <c r="H9" s="4" t="s">
        <v>223</v>
      </c>
    </row>
    <row r="10" spans="1:8">
      <c r="A10" s="5" t="s">
        <v>224</v>
      </c>
      <c r="B10" s="4" t="s">
        <v>225</v>
      </c>
      <c r="C10" s="5" t="s">
        <v>226</v>
      </c>
      <c r="D10" s="22">
        <v>410</v>
      </c>
      <c r="E10" s="4" t="s">
        <v>227</v>
      </c>
      <c r="F10" s="4" t="s">
        <v>228</v>
      </c>
      <c r="G10" s="5" t="s">
        <v>207</v>
      </c>
      <c r="H10" s="4" t="s">
        <v>229</v>
      </c>
    </row>
    <row r="11" spans="1:8">
      <c r="A11" s="5" t="s">
        <v>224</v>
      </c>
      <c r="B11" s="4" t="s">
        <v>230</v>
      </c>
      <c r="C11" s="5" t="s">
        <v>226</v>
      </c>
      <c r="D11" s="22">
        <v>3600</v>
      </c>
      <c r="E11" s="4" t="s">
        <v>231</v>
      </c>
      <c r="F11" s="4" t="s">
        <v>228</v>
      </c>
      <c r="G11" s="5" t="s">
        <v>207</v>
      </c>
      <c r="H11" s="4" t="s">
        <v>232</v>
      </c>
    </row>
  </sheetData>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39</vt:i4>
      </vt:variant>
    </vt:vector>
  </HeadingPairs>
  <TitlesOfParts>
    <vt:vector size="45" baseType="lpstr">
      <vt:lpstr>Read me</vt:lpstr>
      <vt:lpstr>Inputs</vt:lpstr>
      <vt:lpstr>Model</vt:lpstr>
      <vt:lpstr>Result</vt:lpstr>
      <vt:lpstr>Examples</vt:lpstr>
      <vt:lpstr>Public prices</vt:lpstr>
      <vt:lpstr>AnyHours</vt:lpstr>
      <vt:lpstr>CloseShare</vt:lpstr>
      <vt:lpstr>EditionSupport</vt:lpstr>
      <vt:lpstr>HourCost</vt:lpstr>
      <vt:lpstr>HoursYear</vt:lpstr>
      <vt:lpstr>HrsBackup</vt:lpstr>
      <vt:lpstr>HrsPatch</vt:lpstr>
      <vt:lpstr>HrsPerUpgrade</vt:lpstr>
      <vt:lpstr>HrsWatch</vt:lpstr>
      <vt:lpstr>Lowest</vt:lpstr>
      <vt:lpstr>MoveHours</vt:lpstr>
      <vt:lpstr>MovePaid</vt:lpstr>
      <vt:lpstr>NextLowest</vt:lpstr>
      <vt:lpstr>OtherFees</vt:lpstr>
      <vt:lpstr>OverlapMonths</vt:lpstr>
      <vt:lpstr>OwnRise</vt:lpstr>
      <vt:lpstr>PricePerUser</vt:lpstr>
      <vt:lpstr>PriceRise</vt:lpstr>
      <vt:lpstr>QuoteCounted</vt:lpstr>
      <vt:lpstr>QuoteFee</vt:lpstr>
      <vt:lpstr>QuoteHours</vt:lpstr>
      <vt:lpstr>QuoteIncludes</vt:lpstr>
      <vt:lpstr>QuoteNeedsHours</vt:lpstr>
      <vt:lpstr>QuoteSetup</vt:lpstr>
      <vt:lpstr>RankManaged</vt:lpstr>
      <vt:lpstr>SaaSKnown</vt:lpstr>
      <vt:lpstr>ServersStorage</vt:lpstr>
      <vt:lpstr>SetupFee</vt:lpstr>
      <vt:lpstr>StillNeeded</vt:lpstr>
      <vt:lpstr>SumOwn</vt:lpstr>
      <vt:lpstr>SumPriceFactor</vt:lpstr>
      <vt:lpstr>SumUsersPrice</vt:lpstr>
      <vt:lpstr>ToolsPerMonth</vt:lpstr>
      <vt:lpstr>TotalManaged</vt:lpstr>
      <vt:lpstr>TotalSaaS</vt:lpstr>
      <vt:lpstr>TotalSelf</vt:lpstr>
      <vt:lpstr>UpgradesPerYear</vt:lpstr>
      <vt:lpstr>Users</vt:lpstr>
      <vt:lpstr>UsersGrowth</vt:lpstr>
    </vt:vector>
  </TitlesOfParts>
  <Company>MithTech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Three-year cost: SaaS, self-hosting, a managed quote</dc:title>
  <dc:subject>Self-hosting vs SaaS cost model</dc:subject>
  <dc:creator>MithTech</dc:creator>
  <dc:description>The same model as the calculator at mith.tech/tools/self-hosting-cost-comparator. No MithTech price is in this file.</dc:description>
  <cp:lastModifiedBy>MithTech</cp:lastModifiedBy>
  <dcterms:created xsi:type="dcterms:W3CDTF">2026-10-14T00:00:00Z</dcterms:created>
  <dcterms:modified xsi:type="dcterms:W3CDTF">2026-10-14T00:00:00Z</dcterms:modified>
</cp:coreProperties>
</file>